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hcr-my.sharepoint.com/personal/andrew_hall_analysisplace_com/Documents/Add-Ins/Files/Templates-Public/Financial Tables/"/>
    </mc:Choice>
  </mc:AlternateContent>
  <xr:revisionPtr revIDLastSave="3136" documentId="11_F25DC773A252ABDACC1048F1E91C6ADA5BDE58EA" xr6:coauthVersionLast="47" xr6:coauthVersionMax="47" xr10:uidLastSave="{E8FD7BEF-2C0A-4AFF-9CC6-E0EF11CA61ED}"/>
  <bookViews>
    <workbookView xWindow="11115" yWindow="4005" windowWidth="23220" windowHeight="25605" tabRatio="795" xr2:uid="{00000000-000D-0000-FFFF-FFFF00000000}"/>
  </bookViews>
  <sheets>
    <sheet name="Start" sheetId="2" r:id="rId1"/>
    <sheet name="Compare" sheetId="3" r:id="rId2"/>
    <sheet name="Inc" sheetId="4" r:id="rId3"/>
    <sheet name="Inc2" sheetId="13" r:id="rId4"/>
    <sheet name="BS" sheetId="12" r:id="rId5"/>
    <sheet name="CF" sheetId="15" r:id="rId6"/>
    <sheet name="Basic" sheetId="18" r:id="rId7"/>
    <sheet name="Invoice" sheetId="26" r:id="rId8"/>
    <sheet name="Sales" sheetId="29" r:id="rId9"/>
    <sheet name="Forecast" sheetId="33" r:id="rId10"/>
    <sheet name="Lists" sheetId="23" r:id="rId11"/>
    <sheet name="TCO" sheetId="30" r:id="rId12"/>
    <sheet name="Benefits" sheetId="31" r:id="rId13"/>
    <sheet name="ROI" sheetId="25" r:id="rId14"/>
    <sheet name="RE" sheetId="32" r:id="rId15"/>
    <sheet name="DCF" sheetId="34" r:id="rId16"/>
    <sheet name="Pivot" sheetId="6" r:id="rId17"/>
    <sheet name="Auto-Hide" sheetId="7" r:id="rId18"/>
    <sheet name="Sales Dashboard" sheetId="5" r:id="rId19"/>
    <sheet name="HR Dashboard" sheetId="28" r:id="rId20"/>
  </sheets>
  <definedNames>
    <definedName name="HideCol_RealEstate">RE!$E$4:$T$4</definedName>
    <definedName name="HideCol_SheetA">'Auto-Hide'!$C$41:$H$41</definedName>
    <definedName name="HideRow_SheetA">'Auto-Hide'!$K$25:$K$39</definedName>
    <definedName name="r_AIBenefitSummary" comment="[0,13:2,1]">Benefits!$B$3:$F$37</definedName>
    <definedName name="r_AutoHideExample" comment="[0,6,13:2,2,4]">'Auto-Hide'!$B$24:$H$39</definedName>
    <definedName name="r_AutoHideExampleFlex" comment="[0,6:2,2]">'Auto-Hide'!$B$24:$H$39</definedName>
    <definedName name="r_BalanceSheet" comment="[0,10:2,3]">BS!$B$4:$F$47</definedName>
    <definedName name="r_BasicFinancials" comment="[0,13,15,16,17,18,19,20,21,22,37:2,1,1,5,1,5,1,8,1,8,150]">Basic!$B$3:$F$15</definedName>
    <definedName name="r_CashFlowQtrly" comment="[0:2]">CF!$A$3:$L$47</definedName>
    <definedName name="r_CloudTCO" comment="[0,13:2,1]">TCO!$B$24:$I$35</definedName>
    <definedName name="r_CostBenChartData">ROI!$C$59:$F$65</definedName>
    <definedName name="r_CostBenSummary">ROI!$C$9:$F$12</definedName>
    <definedName name="r_CostBenSumText">ROI!$C$7</definedName>
    <definedName name="r_DCF_CalculationsByYear" comment="[0,33,32,13,15,16,17,18,28,27,23,30:2,9,3,4,1,4,1,3,#edeff2,3,1,3]">DCF!$B$5:$M$14</definedName>
    <definedName name="r_DCF_Results">DCF!$B$19:$C$25</definedName>
    <definedName name="r_DueDate">Invoice!$C$11</definedName>
    <definedName name="r_EmpHeadcountAnalysis" comment="[0:3]">'HR Dashboard'!$B$3:$L$7</definedName>
    <definedName name="r_FlexHTML" comment="[0:2]">Compare!$C$68:$D$70</definedName>
    <definedName name="r_Income_Dest">Inc!$B$83:$D$98</definedName>
    <definedName name="r_Income4" comment="[0,32,33,13:2,3,8,4]">Inc!$B$103:$E$164</definedName>
    <definedName name="r_IncomeComparison" comment="[0,10,6:2,3,2]">'Inc2'!$A$4:$L$33</definedName>
    <definedName name="r_IncomeStatement1" comment="[0:2]">Inc!$B$5:$E$34</definedName>
    <definedName name="r_IncomeStatement2" comment="[0,6,27,28,30,33,32,29:2,2,3,#ffffff,3,10,3,2]">Inc!$B$38:$D$76</definedName>
    <definedName name="r_InvoiceAddress">Invoice!$C$8</definedName>
    <definedName name="r_InvoiceDate">Invoice!$C$5</definedName>
    <definedName name="r_InvoiceNumber">Invoice!$C$6</definedName>
    <definedName name="r_InvoiceTable">Invoice!$A$16:$D$25</definedName>
    <definedName name="r_InvoiceTo">Invoice!$C$7</definedName>
    <definedName name="r_MarketValueSummary" comment="[0:2]">RE!$B$55:$C$59</definedName>
    <definedName name="r_PricingTable" comment="[0:2]">TCO!$B$59:$F$67</definedName>
    <definedName name="r_ProjectCostsSummary">ROI!$C$19:$F$24</definedName>
    <definedName name="r_RealEstateCompsGrid" comment="[0,6:2,2]">RE!$B$7:$N$50</definedName>
    <definedName name="r_SalesDashboard_Img">'Sales Dashboard'!$B$5:$E$10</definedName>
    <definedName name="r_SalesForecastByMonth" comment="[0,32,33:2,3,7]">Forecast!$B$5:$O$33</definedName>
    <definedName name="r_TableComparison">Compare!$C$42:$E$44</definedName>
    <definedName name="r_TCO_Configuration" comment="[0:1]">TCO!$B$5:$F$16</definedName>
    <definedName name="r_TcoSummaryText">TCO!$B$19</definedName>
    <definedName name="r_TitlesInColumns" comment="[0,13:2,1]">Compare!$A$55:$E$62</definedName>
  </definedNames>
  <calcPr calcId="191029" concurrentCalc="0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4" l="1"/>
  <c r="E13" i="34"/>
  <c r="F3" i="34"/>
  <c r="F13" i="34"/>
  <c r="G3" i="34"/>
  <c r="G13" i="34"/>
  <c r="H3" i="34"/>
  <c r="H13" i="34"/>
  <c r="I3" i="34"/>
  <c r="I13" i="34"/>
  <c r="J3" i="34"/>
  <c r="J13" i="34"/>
  <c r="K3" i="34"/>
  <c r="K13" i="34"/>
  <c r="L3" i="34"/>
  <c r="L13" i="34"/>
  <c r="M3" i="34"/>
  <c r="M13" i="34"/>
  <c r="D13" i="34"/>
  <c r="M8" i="34"/>
  <c r="M12" i="34"/>
  <c r="C19" i="34"/>
  <c r="C20" i="34"/>
  <c r="D8" i="34"/>
  <c r="D12" i="34"/>
  <c r="D14" i="34"/>
  <c r="E8" i="34"/>
  <c r="E12" i="34"/>
  <c r="E14" i="34"/>
  <c r="F8" i="34"/>
  <c r="F12" i="34"/>
  <c r="F14" i="34"/>
  <c r="G8" i="34"/>
  <c r="G12" i="34"/>
  <c r="G14" i="34"/>
  <c r="H8" i="34"/>
  <c r="H12" i="34"/>
  <c r="H14" i="34"/>
  <c r="I8" i="34"/>
  <c r="I12" i="34"/>
  <c r="I14" i="34"/>
  <c r="J8" i="34"/>
  <c r="J12" i="34"/>
  <c r="J14" i="34"/>
  <c r="K8" i="34"/>
  <c r="K12" i="34"/>
  <c r="K14" i="34"/>
  <c r="L8" i="34"/>
  <c r="L12" i="34"/>
  <c r="L14" i="34"/>
  <c r="M14" i="34"/>
  <c r="C21" i="34"/>
  <c r="C22" i="34"/>
  <c r="C28" i="34"/>
  <c r="C27" i="34"/>
  <c r="C25" i="34"/>
  <c r="N4" i="32"/>
  <c r="L4" i="32"/>
  <c r="J4" i="32"/>
  <c r="H4" i="32"/>
  <c r="F4" i="32"/>
  <c r="G4" i="32"/>
  <c r="E4" i="32"/>
  <c r="I4" i="32"/>
  <c r="M4" i="32"/>
  <c r="K4" i="32"/>
  <c r="C45" i="23"/>
  <c r="C46" i="23"/>
  <c r="C47" i="23"/>
  <c r="C48" i="23"/>
  <c r="C49" i="23"/>
  <c r="C50" i="23"/>
  <c r="C51" i="23"/>
  <c r="E15" i="18"/>
  <c r="D15" i="18"/>
  <c r="C15" i="18"/>
  <c r="E104" i="4"/>
  <c r="E106" i="4"/>
  <c r="E107" i="4"/>
  <c r="E108" i="4"/>
  <c r="E109" i="4"/>
  <c r="C110" i="4"/>
  <c r="E110" i="4"/>
  <c r="D110" i="4"/>
  <c r="E113" i="4"/>
  <c r="E114" i="4"/>
  <c r="E115" i="4"/>
  <c r="E116" i="4"/>
  <c r="E117" i="4"/>
  <c r="E118" i="4"/>
  <c r="E119" i="4"/>
  <c r="E120" i="4"/>
  <c r="C121" i="4"/>
  <c r="D121" i="4"/>
  <c r="D123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C154" i="4"/>
  <c r="D154" i="4"/>
  <c r="E159" i="4"/>
  <c r="E160" i="4"/>
  <c r="E161" i="4"/>
  <c r="C162" i="4"/>
  <c r="E162" i="4"/>
  <c r="D162" i="4"/>
  <c r="C83" i="4"/>
  <c r="D84" i="4"/>
  <c r="C85" i="4"/>
  <c r="C86" i="4"/>
  <c r="C88" i="4"/>
  <c r="D88" i="4"/>
  <c r="C89" i="4"/>
  <c r="D89" i="4"/>
  <c r="C90" i="4"/>
  <c r="D90" i="4"/>
  <c r="C91" i="4"/>
  <c r="D91" i="4"/>
  <c r="C93" i="4"/>
  <c r="D93" i="4"/>
  <c r="C95" i="4"/>
  <c r="D95" i="4"/>
  <c r="D5" i="4"/>
  <c r="E5" i="4"/>
  <c r="D7" i="4"/>
  <c r="E7" i="4"/>
  <c r="D8" i="4"/>
  <c r="D13" i="4"/>
  <c r="C9" i="4"/>
  <c r="C19" i="4"/>
  <c r="C12" i="4"/>
  <c r="C13" i="4"/>
  <c r="K63" i="29"/>
  <c r="K64" i="29"/>
  <c r="K65" i="29"/>
  <c r="K66" i="29"/>
  <c r="K67" i="29"/>
  <c r="K68" i="29"/>
  <c r="K69" i="29"/>
  <c r="C70" i="29"/>
  <c r="C73" i="29"/>
  <c r="D70" i="29"/>
  <c r="E70" i="29"/>
  <c r="E73" i="29"/>
  <c r="F70" i="29"/>
  <c r="G70" i="29"/>
  <c r="G73" i="29"/>
  <c r="H70" i="29"/>
  <c r="H73" i="29"/>
  <c r="I70" i="29"/>
  <c r="I73" i="29"/>
  <c r="J70" i="29"/>
  <c r="J73" i="29"/>
  <c r="K72" i="29"/>
  <c r="D73" i="29"/>
  <c r="C17" i="26"/>
  <c r="D17" i="26"/>
  <c r="C21" i="26"/>
  <c r="D21" i="26"/>
  <c r="C22" i="26"/>
  <c r="D22" i="26"/>
  <c r="C31" i="26"/>
  <c r="C32" i="26"/>
  <c r="C10" i="26"/>
  <c r="C5" i="26"/>
  <c r="C11" i="26"/>
  <c r="C123" i="4"/>
  <c r="D156" i="4"/>
  <c r="D164" i="4"/>
  <c r="E154" i="4"/>
  <c r="C156" i="4"/>
  <c r="C164" i="4"/>
  <c r="E164" i="4"/>
  <c r="E123" i="4"/>
  <c r="E121" i="4"/>
  <c r="D9" i="4"/>
  <c r="D19" i="4"/>
  <c r="F73" i="29"/>
  <c r="C14" i="4"/>
  <c r="C15" i="4"/>
  <c r="E8" i="4"/>
  <c r="E13" i="4"/>
  <c r="D85" i="4"/>
  <c r="D12" i="4"/>
  <c r="D14" i="4"/>
  <c r="D15" i="4"/>
  <c r="C92" i="4"/>
  <c r="D86" i="4"/>
  <c r="E9" i="4"/>
  <c r="E20" i="4"/>
  <c r="E12" i="4"/>
  <c r="E14" i="4"/>
  <c r="D27" i="4"/>
  <c r="C27" i="4"/>
  <c r="D18" i="4"/>
  <c r="D33" i="4"/>
  <c r="C33" i="4"/>
  <c r="E26" i="4"/>
  <c r="C18" i="4"/>
  <c r="E27" i="4"/>
  <c r="D22" i="4"/>
  <c r="C22" i="4"/>
  <c r="C26" i="4"/>
  <c r="C21" i="4"/>
  <c r="C20" i="4"/>
  <c r="K76" i="29"/>
  <c r="K73" i="29"/>
  <c r="K70" i="29"/>
  <c r="K74" i="29"/>
  <c r="C18" i="26"/>
  <c r="D18" i="26"/>
  <c r="C33" i="26"/>
  <c r="C19" i="26"/>
  <c r="D19" i="26"/>
  <c r="D20" i="4"/>
  <c r="D21" i="4"/>
  <c r="D26" i="4"/>
  <c r="E156" i="4"/>
  <c r="E18" i="4"/>
  <c r="E15" i="4"/>
  <c r="D28" i="4"/>
  <c r="E21" i="4"/>
  <c r="E22" i="4"/>
  <c r="C28" i="4"/>
  <c r="D92" i="4"/>
  <c r="C94" i="4"/>
  <c r="E28" i="4"/>
  <c r="E19" i="4"/>
  <c r="E23" i="4"/>
  <c r="E30" i="4"/>
  <c r="E31" i="4"/>
  <c r="E32" i="4"/>
  <c r="E34" i="4"/>
  <c r="E33" i="4"/>
  <c r="C23" i="4"/>
  <c r="C30" i="4"/>
  <c r="C31" i="4"/>
  <c r="C32" i="4"/>
  <c r="C34" i="4"/>
  <c r="D23" i="4"/>
  <c r="D30" i="4"/>
  <c r="D31" i="4"/>
  <c r="D32" i="4"/>
  <c r="D34" i="4"/>
  <c r="C34" i="26"/>
  <c r="C35" i="26"/>
  <c r="C36" i="26"/>
  <c r="C37" i="26"/>
  <c r="C38" i="26"/>
  <c r="C39" i="26"/>
  <c r="C20" i="26"/>
  <c r="D20" i="26"/>
  <c r="D23" i="26"/>
  <c r="C96" i="4"/>
  <c r="D94" i="4"/>
  <c r="D24" i="26"/>
  <c r="D25" i="26"/>
  <c r="C97" i="4"/>
  <c r="D97" i="4"/>
  <c r="C98" i="4"/>
  <c r="D98" i="4"/>
  <c r="D96" i="4"/>
  <c r="N28" i="33"/>
  <c r="N32" i="33"/>
  <c r="M28" i="33"/>
  <c r="M32" i="33"/>
  <c r="L28" i="33"/>
  <c r="L32" i="33"/>
  <c r="K28" i="33"/>
  <c r="K32" i="33"/>
  <c r="J28" i="33"/>
  <c r="J32" i="33"/>
  <c r="I28" i="33"/>
  <c r="H28" i="33"/>
  <c r="H32" i="33"/>
  <c r="G28" i="33"/>
  <c r="G32" i="33"/>
  <c r="F28" i="33"/>
  <c r="F32" i="33"/>
  <c r="E28" i="33"/>
  <c r="E32" i="33"/>
  <c r="D28" i="33"/>
  <c r="D32" i="33"/>
  <c r="C28" i="33"/>
  <c r="C32" i="33"/>
  <c r="N27" i="33"/>
  <c r="N31" i="33"/>
  <c r="N33" i="33"/>
  <c r="M27" i="33"/>
  <c r="M31" i="33"/>
  <c r="M33" i="33"/>
  <c r="L27" i="33"/>
  <c r="L31" i="33"/>
  <c r="L33" i="33"/>
  <c r="K27" i="33"/>
  <c r="K31" i="33"/>
  <c r="K33" i="33"/>
  <c r="J27" i="33"/>
  <c r="J31" i="33"/>
  <c r="J33" i="33"/>
  <c r="I27" i="33"/>
  <c r="I31" i="33"/>
  <c r="H27" i="33"/>
  <c r="H31" i="33"/>
  <c r="G27" i="33"/>
  <c r="G31" i="33"/>
  <c r="F27" i="33"/>
  <c r="F31" i="33"/>
  <c r="E27" i="33"/>
  <c r="E31" i="33"/>
  <c r="D27" i="33"/>
  <c r="D31" i="33"/>
  <c r="C27" i="33"/>
  <c r="O24" i="33"/>
  <c r="B24" i="33"/>
  <c r="O23" i="33"/>
  <c r="B23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8" i="33"/>
  <c r="N15" i="33"/>
  <c r="M15" i="33"/>
  <c r="L15" i="33"/>
  <c r="K15" i="33"/>
  <c r="J15" i="33"/>
  <c r="I15" i="33"/>
  <c r="H15" i="33"/>
  <c r="G15" i="33"/>
  <c r="F15" i="33"/>
  <c r="E15" i="33"/>
  <c r="D15" i="33"/>
  <c r="B15" i="33"/>
  <c r="B28" i="33"/>
  <c r="N14" i="33"/>
  <c r="M14" i="33"/>
  <c r="L14" i="33"/>
  <c r="K14" i="33"/>
  <c r="J14" i="33"/>
  <c r="I14" i="33"/>
  <c r="H14" i="33"/>
  <c r="G14" i="33"/>
  <c r="F14" i="33"/>
  <c r="E14" i="33"/>
  <c r="D14" i="33"/>
  <c r="O14" i="33"/>
  <c r="B14" i="33"/>
  <c r="B27" i="33"/>
  <c r="O11" i="33"/>
  <c r="O10" i="33"/>
  <c r="O7" i="33"/>
  <c r="O6" i="33"/>
  <c r="C5" i="33"/>
  <c r="D5" i="33"/>
  <c r="E5" i="33"/>
  <c r="F5" i="33"/>
  <c r="G5" i="33"/>
  <c r="H5" i="33"/>
  <c r="I5" i="33"/>
  <c r="J5" i="33"/>
  <c r="K5" i="33"/>
  <c r="L5" i="33"/>
  <c r="M5" i="33"/>
  <c r="N5" i="33"/>
  <c r="O28" i="33"/>
  <c r="O19" i="33"/>
  <c r="D20" i="33"/>
  <c r="B10" i="33"/>
  <c r="B31" i="33"/>
  <c r="H20" i="33"/>
  <c r="O27" i="33"/>
  <c r="O15" i="33"/>
  <c r="E20" i="33"/>
  <c r="F20" i="33"/>
  <c r="G20" i="33"/>
  <c r="E33" i="33"/>
  <c r="K20" i="33"/>
  <c r="F33" i="33"/>
  <c r="I20" i="33"/>
  <c r="J20" i="33"/>
  <c r="L20" i="33"/>
  <c r="M20" i="33"/>
  <c r="H33" i="33"/>
  <c r="B11" i="33"/>
  <c r="B19" i="33"/>
  <c r="G33" i="33"/>
  <c r="N20" i="33"/>
  <c r="O20" i="33"/>
  <c r="D33" i="33"/>
  <c r="I32" i="33"/>
  <c r="I33" i="33"/>
  <c r="C20" i="33"/>
  <c r="C31" i="33"/>
  <c r="B32" i="33"/>
  <c r="B18" i="33"/>
  <c r="O31" i="33"/>
  <c r="C33" i="33"/>
  <c r="O32" i="33"/>
  <c r="O33" i="33"/>
  <c r="C59" i="32"/>
  <c r="E35" i="31"/>
  <c r="D35" i="31"/>
  <c r="C35" i="31"/>
  <c r="E31" i="31"/>
  <c r="D31" i="31"/>
  <c r="C31" i="31"/>
  <c r="E25" i="31"/>
  <c r="D25" i="31"/>
  <c r="C25" i="31"/>
  <c r="E17" i="31"/>
  <c r="D17" i="31"/>
  <c r="C17" i="31"/>
  <c r="F34" i="31"/>
  <c r="F33" i="31"/>
  <c r="F30" i="31"/>
  <c r="F29" i="31"/>
  <c r="F28" i="31"/>
  <c r="F27" i="31"/>
  <c r="F24" i="31"/>
  <c r="F23" i="31"/>
  <c r="F22" i="31"/>
  <c r="F21" i="31"/>
  <c r="F20" i="31"/>
  <c r="F19" i="31"/>
  <c r="F16" i="31"/>
  <c r="F15" i="31"/>
  <c r="F14" i="31"/>
  <c r="F13" i="31"/>
  <c r="F10" i="31"/>
  <c r="F9" i="31"/>
  <c r="F8" i="31"/>
  <c r="F7" i="31"/>
  <c r="F6" i="31"/>
  <c r="F5" i="31"/>
  <c r="E11" i="31"/>
  <c r="D11" i="31"/>
  <c r="D37" i="31"/>
  <c r="C11" i="31"/>
  <c r="F35" i="31"/>
  <c r="E37" i="31"/>
  <c r="C37" i="31"/>
  <c r="F25" i="31"/>
  <c r="F31" i="31"/>
  <c r="F11" i="31"/>
  <c r="F17" i="31"/>
  <c r="E16" i="30"/>
  <c r="B19" i="30"/>
  <c r="C16" i="30"/>
  <c r="F37" i="31"/>
  <c r="S31" i="25"/>
  <c r="S30" i="25"/>
  <c r="S29" i="25"/>
  <c r="S28" i="25"/>
  <c r="S20" i="25"/>
  <c r="S21" i="25"/>
  <c r="S22" i="25"/>
  <c r="S23" i="25"/>
  <c r="T9" i="25"/>
  <c r="S11" i="25"/>
  <c r="S10" i="25"/>
  <c r="E17" i="28"/>
  <c r="P9" i="29"/>
  <c r="N5" i="29"/>
  <c r="N6" i="29"/>
  <c r="N7" i="29"/>
  <c r="N8" i="29"/>
  <c r="N9" i="29"/>
  <c r="N10" i="29"/>
  <c r="N11" i="29"/>
  <c r="N4" i="29"/>
  <c r="I11" i="29"/>
  <c r="K11" i="29"/>
  <c r="P11" i="29"/>
  <c r="F11" i="29"/>
  <c r="J14" i="29"/>
  <c r="I10" i="29"/>
  <c r="K10" i="29"/>
  <c r="F10" i="29"/>
  <c r="I14" i="29"/>
  <c r="I9" i="29"/>
  <c r="K9" i="29"/>
  <c r="F9" i="29"/>
  <c r="H14" i="29"/>
  <c r="I8" i="29"/>
  <c r="K8" i="29"/>
  <c r="P8" i="29"/>
  <c r="F8" i="29"/>
  <c r="G14" i="29"/>
  <c r="I7" i="29"/>
  <c r="K7" i="29"/>
  <c r="P7" i="29"/>
  <c r="F7" i="29"/>
  <c r="F14" i="29"/>
  <c r="I6" i="29"/>
  <c r="K6" i="29"/>
  <c r="P6" i="29"/>
  <c r="F6" i="29"/>
  <c r="E14" i="29"/>
  <c r="I5" i="29"/>
  <c r="K5" i="29"/>
  <c r="P5" i="29"/>
  <c r="F5" i="29"/>
  <c r="D14" i="29"/>
  <c r="I4" i="29"/>
  <c r="K4" i="29"/>
  <c r="P4" i="29"/>
  <c r="F4" i="29"/>
  <c r="C14" i="29"/>
  <c r="O10" i="29"/>
  <c r="O8" i="29"/>
  <c r="O11" i="29"/>
  <c r="P10" i="29"/>
  <c r="O9" i="29"/>
  <c r="O6" i="29"/>
  <c r="O5" i="29"/>
  <c r="O7" i="29"/>
  <c r="O4" i="29"/>
  <c r="K14" i="29"/>
  <c r="I15" i="29"/>
  <c r="H15" i="29"/>
  <c r="E15" i="29"/>
  <c r="D15" i="29"/>
  <c r="G15" i="29"/>
  <c r="F15" i="29"/>
  <c r="C15" i="29"/>
  <c r="J15" i="29"/>
  <c r="K15" i="29"/>
  <c r="F36" i="23"/>
  <c r="E36" i="23"/>
  <c r="D36" i="23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G36" i="23"/>
  <c r="H36" i="23"/>
  <c r="F23" i="25"/>
  <c r="T23" i="25"/>
  <c r="F22" i="25"/>
  <c r="T22" i="25"/>
  <c r="F21" i="25"/>
  <c r="T21" i="25"/>
  <c r="F20" i="25"/>
  <c r="T20" i="25"/>
  <c r="F30" i="25"/>
  <c r="T30" i="25"/>
  <c r="F29" i="25"/>
  <c r="T29" i="25"/>
  <c r="F28" i="25"/>
  <c r="T28" i="25"/>
  <c r="F19" i="25"/>
  <c r="D69" i="25"/>
  <c r="E31" i="25"/>
  <c r="E11" i="25"/>
  <c r="E61" i="25"/>
  <c r="E62" i="25"/>
  <c r="E63" i="25"/>
  <c r="E64" i="25"/>
  <c r="E65" i="25"/>
  <c r="D31" i="25"/>
  <c r="D11" i="25"/>
  <c r="D24" i="25"/>
  <c r="D10" i="25"/>
  <c r="D60" i="25"/>
  <c r="E24" i="25"/>
  <c r="E10" i="25"/>
  <c r="D61" i="25"/>
  <c r="D62" i="25"/>
  <c r="F27" i="25"/>
  <c r="T27" i="25"/>
  <c r="T19" i="25"/>
  <c r="F11" i="25"/>
  <c r="T11" i="25"/>
  <c r="E60" i="25"/>
  <c r="E67" i="25"/>
  <c r="D63" i="25"/>
  <c r="F10" i="25"/>
  <c r="G61" i="25"/>
  <c r="F24" i="25"/>
  <c r="F31" i="25"/>
  <c r="T31" i="25"/>
  <c r="F12" i="25"/>
  <c r="D14" i="25"/>
  <c r="T10" i="25"/>
  <c r="C7" i="25"/>
  <c r="G60" i="25"/>
  <c r="F60" i="25"/>
  <c r="F61" i="25"/>
  <c r="H61" i="25"/>
  <c r="D64" i="25"/>
  <c r="D65" i="25"/>
  <c r="G62" i="25"/>
  <c r="D66" i="25"/>
  <c r="D67" i="25"/>
  <c r="E66" i="25"/>
  <c r="G63" i="25"/>
  <c r="F62" i="25"/>
  <c r="H62" i="25"/>
  <c r="F63" i="25"/>
  <c r="G64" i="25"/>
  <c r="G65" i="25"/>
  <c r="G67" i="25"/>
  <c r="D16" i="25"/>
  <c r="F64" i="25"/>
  <c r="H63" i="25"/>
  <c r="G66" i="25"/>
  <c r="D15" i="25"/>
  <c r="F65" i="25"/>
  <c r="F66" i="25"/>
  <c r="H64" i="25"/>
  <c r="H65" i="25"/>
  <c r="H66" i="25"/>
  <c r="D70" i="25"/>
  <c r="K19" i="23"/>
  <c r="J19" i="23"/>
  <c r="K18" i="23"/>
  <c r="J18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K11" i="23"/>
  <c r="J11" i="23"/>
  <c r="K10" i="23"/>
  <c r="J10" i="23"/>
  <c r="K9" i="23"/>
  <c r="J9" i="23"/>
  <c r="D8" i="18"/>
  <c r="D9" i="18"/>
  <c r="E8" i="18"/>
  <c r="E9" i="18"/>
  <c r="C8" i="18"/>
  <c r="C9" i="18"/>
  <c r="C39" i="4"/>
  <c r="D39" i="4"/>
  <c r="C22" i="7"/>
  <c r="C41" i="7" a="1"/>
  <c r="C41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B44" i="7"/>
  <c r="B45" i="7"/>
  <c r="D6" i="5"/>
  <c r="D7" i="5"/>
  <c r="D8" i="5"/>
  <c r="D9" i="5"/>
  <c r="G10" i="5"/>
  <c r="H10" i="5"/>
  <c r="I10" i="5"/>
  <c r="J10" i="5"/>
  <c r="C43" i="4"/>
  <c r="D43" i="3"/>
  <c r="D10" i="5"/>
  <c r="K39" i="7" a="1"/>
  <c r="K39" i="7"/>
  <c r="K30" i="7" a="1"/>
  <c r="K30" i="7"/>
  <c r="K29" i="7" a="1"/>
  <c r="K29" i="7"/>
  <c r="K26" i="7" a="1"/>
  <c r="K26" i="7"/>
  <c r="K27" i="7" a="1"/>
  <c r="K27" i="7"/>
  <c r="K38" i="7" a="1"/>
  <c r="K38" i="7"/>
  <c r="K32" i="7" a="1"/>
  <c r="K32" i="7"/>
  <c r="K37" i="7" a="1"/>
  <c r="K37" i="7"/>
  <c r="K28" i="7" a="1"/>
  <c r="K28" i="7"/>
  <c r="K36" i="7" a="1"/>
  <c r="K36" i="7"/>
  <c r="K35" i="7" a="1"/>
  <c r="K35" i="7"/>
  <c r="H41" i="7" a="1"/>
  <c r="H41" i="7"/>
  <c r="G41" i="7" a="1"/>
  <c r="G41" i="7"/>
  <c r="F41" i="7" a="1"/>
  <c r="F41" i="7"/>
  <c r="K34" i="7" a="1"/>
  <c r="K34" i="7"/>
  <c r="K31" i="7" a="1"/>
  <c r="K31" i="7"/>
  <c r="K25" i="7" a="1"/>
  <c r="K25" i="7"/>
  <c r="E41" i="7" a="1"/>
  <c r="E41" i="7"/>
  <c r="K33" i="7" a="1"/>
  <c r="K33" i="7"/>
  <c r="D41" i="7" a="1"/>
  <c r="D41" i="7"/>
  <c r="C65" i="4"/>
  <c r="C48" i="4"/>
  <c r="C57" i="4"/>
  <c r="C68" i="4"/>
  <c r="C66" i="4"/>
  <c r="C63" i="4"/>
  <c r="C62" i="4"/>
  <c r="C73" i="4"/>
  <c r="C61" i="4"/>
  <c r="C56" i="4"/>
  <c r="C64" i="4"/>
  <c r="C75" i="4"/>
  <c r="C72" i="4"/>
  <c r="C60" i="4"/>
  <c r="C44" i="4"/>
  <c r="C45" i="4"/>
  <c r="D42" i="4"/>
  <c r="C58" i="4"/>
  <c r="C69" i="4"/>
  <c r="C67" i="4"/>
  <c r="C55" i="4"/>
  <c r="C50" i="4"/>
  <c r="C49" i="4"/>
  <c r="C59" i="4"/>
  <c r="C51" i="4"/>
  <c r="C52" i="4"/>
  <c r="C70" i="4"/>
  <c r="D43" i="4"/>
  <c r="D59" i="4"/>
  <c r="D49" i="4"/>
  <c r="D67" i="4"/>
  <c r="D56" i="4"/>
  <c r="D58" i="4"/>
  <c r="D44" i="4"/>
  <c r="D60" i="4"/>
  <c r="D72" i="4"/>
  <c r="D48" i="4"/>
  <c r="D62" i="4"/>
  <c r="D63" i="4"/>
  <c r="D55" i="4"/>
  <c r="D68" i="4"/>
  <c r="D57" i="4"/>
  <c r="D69" i="4"/>
  <c r="D75" i="4"/>
  <c r="D65" i="4"/>
  <c r="D66" i="4"/>
  <c r="D61" i="4"/>
  <c r="D73" i="4"/>
  <c r="D50" i="4"/>
  <c r="D64" i="4"/>
  <c r="D45" i="4"/>
  <c r="C71" i="4"/>
  <c r="C74" i="4"/>
  <c r="C76" i="4"/>
  <c r="D70" i="4"/>
  <c r="D51" i="4"/>
  <c r="D52" i="4"/>
  <c r="D71" i="4"/>
  <c r="D74" i="4"/>
  <c r="D7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<sst xmlns="http://schemas.openxmlformats.org/spreadsheetml/2006/main" count="1425" uniqueCount="974">
  <si>
    <t>Auto-Hide</t>
  </si>
  <si>
    <t>Auto-Hide Rows/Columns</t>
  </si>
  <si>
    <t>PivotTables can be transferred as Flex Tables, Destination Tables, or Images</t>
  </si>
  <si>
    <t>Pivot</t>
  </si>
  <si>
    <t>PivotTables</t>
  </si>
  <si>
    <t>Description</t>
  </si>
  <si>
    <t>To use this document:</t>
  </si>
  <si>
    <t>Instructions</t>
  </si>
  <si>
    <t>Alt-Enter to add line breaks</t>
  </si>
  <si>
    <t>General Table Tips</t>
  </si>
  <si>
    <t>^5 Office Online may experience other issues, such as some appearance differences and some other incompatibilities. Office on Windows or Macs is recommended for Flex tables.</t>
  </si>
  <si>
    <t>^4 Word requires some content (e.g. a line break) after a Flex table if there is another table (any type) directly below it</t>
  </si>
  <si>
    <t>Also, the add-in can't resize both columns and rows in 1 update (though Cloud Updates can).</t>
  </si>
  <si>
    <t>^3 Dest Table formatting limitations: The add-in inserts/deletes rows/columns (before the last row/column) to match the Excel table size. Uses the next-to-the-last row/column as the style template. With complex formatting when resizing is needed, it may insert/delete row at wrong location resulting in misplaced/offset row formats.</t>
  </si>
  <si>
    <t>^2 When using Excel Tables (e.g. "Format as Table"), as opposed to named ranges, the Table Syles are ignored. You must explicitly apply formats (font color/size, background, borders, etc.) to appear in the Word table. All formats applied to named ranges can appear in the Word table. PivotTables work the same way as Excel Tables.</t>
  </si>
  <si>
    <t>^1 Table images Mac and borders workaround: in Excel: copy the range, paste it as a "Linked Picture", then name that shape (starting with your prefix)</t>
  </si>
  <si>
    <t>Low resolution &gt; make font larger in Excel
Large file size
1px border often cut off (see Image sheet)</t>
  </si>
  <si>
    <t>Requires some content between tables ^4
Cloud updates insert a line break after the table
Office Online limitations ^5</t>
  </si>
  <si>
    <t>Slow update speeds for large tables
Formatting limitations ^3</t>
  </si>
  <si>
    <t>Potential Issues</t>
  </si>
  <si>
    <t>No (large file sizes)</t>
  </si>
  <si>
    <t>Yes</t>
  </si>
  <si>
    <t>Not likely (slow, formating limitations)
May be good for Cloud Updates (incl templates)</t>
  </si>
  <si>
    <t>Appropriate for large financial tables and reports</t>
  </si>
  <si>
    <t>Yes - it replaces the destination image</t>
  </si>
  <si>
    <t>Yes - it recreates and replaces the destination (Word) table</t>
  </si>
  <si>
    <t>Yes, it inserts/deletes rows/columns to match the Excel table size. There are limits ^3</t>
  </si>
  <si>
    <t>Table re-sizing</t>
  </si>
  <si>
    <t>Yes (inserts line break after the table)</t>
  </si>
  <si>
    <t>Works with Cloud Updates (including Personal and Business templates)</t>
  </si>
  <si>
    <t>No</t>
  </si>
  <si>
    <t>Yes - cells can contain HTML content</t>
  </si>
  <si>
    <t>HTML Formatting</t>
  </si>
  <si>
    <t>Conditional Formatting</t>
  </si>
  <si>
    <t>Yes (PivotTable Styles are ignored ^2)</t>
  </si>
  <si>
    <t>Yes (Table Styles are ignored ^2)</t>
  </si>
  <si>
    <t>Excel Tables (Data Tables)</t>
  </si>
  <si>
    <t>Excel Named Ranges</t>
  </si>
  <si>
    <t>Yes, with limits</t>
  </si>
  <si>
    <t>Merged Cells</t>
  </si>
  <si>
    <t>Appears the same as it does in Excel
See fix for missing borders ^1</t>
  </si>
  <si>
    <t>Uses destination format (only updates text)
Table format can be modified in Word/PPT
3 insert/link options (with 1 "Insert Content / Update Link" button):
If no table is selected, the add-in inserts a new table
If existing table is selected (with your format), it links it
If you want it to look like Excel: copy the range/table from Excel, then past into Word/PowerPoint with source format, then link</t>
  </si>
  <si>
    <t>Formatting</t>
  </si>
  <si>
    <t>Fast</t>
  </si>
  <si>
    <t>Fast: can update dozens of large tables in seconds</t>
  </si>
  <si>
    <t>Word add-in updates can be slow for large tables
Cloud updates are fast</t>
  </si>
  <si>
    <t>Update speed</t>
  </si>
  <si>
    <t>Large transfer and file sizes</t>
  </si>
  <si>
    <t>Small-Medium</t>
  </si>
  <si>
    <t>Small</t>
  </si>
  <si>
    <t>Size in desination file</t>
  </si>
  <si>
    <r>
      <t xml:space="preserve">Formatting Control: </t>
    </r>
    <r>
      <rPr>
        <b/>
        <sz val="12"/>
        <color theme="1"/>
        <rFont val="Calibri"/>
        <family val="2"/>
        <scheme val="minor"/>
      </rPr>
      <t>Image</t>
    </r>
    <r>
      <rPr>
        <sz val="11"/>
        <color theme="1"/>
        <rFont val="Calibri"/>
        <family val="2"/>
        <scheme val="minor"/>
      </rPr>
      <t xml:space="preserve">
OR append the name with "_img" 
See "Image" sheet for details</t>
    </r>
  </si>
  <si>
    <r>
      <t xml:space="preserve">Formatting Control: </t>
    </r>
    <r>
      <rPr>
        <b/>
        <sz val="12"/>
        <color theme="1"/>
        <rFont val="Calibri"/>
        <family val="2"/>
        <scheme val="minor"/>
      </rPr>
      <t>Flex</t>
    </r>
    <r>
      <rPr>
        <sz val="11"/>
        <color theme="1"/>
        <rFont val="Calibri"/>
        <family val="2"/>
        <scheme val="minor"/>
      </rPr>
      <t xml:space="preserve">
See "Flex" sheet for details</t>
    </r>
  </si>
  <si>
    <r>
      <t xml:space="preserve">This is the initial default
Or switch Formatting Control to </t>
    </r>
    <r>
      <rPr>
        <b/>
        <sz val="12"/>
        <color theme="1"/>
        <rFont val="Calibri"/>
        <family val="2"/>
        <scheme val="minor"/>
      </rPr>
      <t>Dest</t>
    </r>
    <r>
      <rPr>
        <sz val="11"/>
        <color theme="1"/>
        <rFont val="Calibri"/>
        <family val="2"/>
        <scheme val="minor"/>
      </rPr>
      <t xml:space="preserve">
See "Dest" sheet for details</t>
    </r>
  </si>
  <si>
    <t>How to Add and Configure</t>
  </si>
  <si>
    <t>The Excel add-in creates an image of the range which replaces the Word/PowerPoint image</t>
  </si>
  <si>
    <t>Only the Excel table text/values are transferred to Word/PowerPoint. The text is updated in the destination table, but the table format is not modified. The add-in resizes the destination table (by inserting/deleting rows/columns) to match the size of the Excel table/range.</t>
  </si>
  <si>
    <t>How it Works</t>
  </si>
  <si>
    <t>Transfers an exact image of the Excel range/table
Can result in large files sizes</t>
  </si>
  <si>
    <t>The original (and default) table type
Only transfers the table text content from Excel, not formatting
Formatting is applied in the destination (Word or PowerPoint) -- the update does not modify the format</t>
  </si>
  <si>
    <t>Summary</t>
  </si>
  <si>
    <t>Table images</t>
  </si>
  <si>
    <t>Flex tables (Excel-formatted)</t>
  </si>
  <si>
    <t>The table below compares the 3 formatting control methods.</t>
  </si>
  <si>
    <t>Verdana Pro Font</t>
  </si>
  <si>
    <t>Row 2</t>
  </si>
  <si>
    <t>Red</t>
  </si>
  <si>
    <t>Row 1</t>
  </si>
  <si>
    <t>Column 2</t>
  </si>
  <si>
    <t>Column 1</t>
  </si>
  <si>
    <t>You can experiment with the 3 Formatting Controls and changing the format below (for Flex and Image) and the Word/PPT table (for Dest)</t>
  </si>
  <si>
    <t>Example</t>
  </si>
  <si>
    <t>Note: In Word, you can switch between Flex and Dest. However, to switch to/from an image of the table, you need to re-insert the item.</t>
  </si>
  <si>
    <r>
      <t>In the Excel add-in, on the '</t>
    </r>
    <r>
      <rPr>
        <b/>
        <sz val="12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>' tab, select '</t>
    </r>
    <r>
      <rPr>
        <b/>
        <sz val="12"/>
        <color theme="1"/>
        <rFont val="Calibri"/>
        <family val="2"/>
        <scheme val="minor"/>
      </rPr>
      <t>List/Manage Items</t>
    </r>
    <r>
      <rPr>
        <sz val="11"/>
        <color theme="1"/>
        <rFont val="Calibri"/>
        <family val="2"/>
        <scheme val="minor"/>
      </rPr>
      <t>', then select the desired item, then choose one of the 3 options for '</t>
    </r>
    <r>
      <rPr>
        <b/>
        <sz val="12"/>
        <color theme="1"/>
        <rFont val="Calibri"/>
        <family val="2"/>
        <scheme val="minor"/>
      </rPr>
      <t>Formatting Control</t>
    </r>
    <r>
      <rPr>
        <sz val="11"/>
        <color theme="1"/>
        <rFont val="Calibri"/>
        <family val="2"/>
        <scheme val="minor"/>
      </rPr>
      <t>' under '</t>
    </r>
    <r>
      <rPr>
        <b/>
        <sz val="12"/>
        <color theme="1"/>
        <rFont val="Calibri"/>
        <family val="2"/>
        <scheme val="minor"/>
      </rPr>
      <t>Selected Item</t>
    </r>
    <r>
      <rPr>
        <sz val="11"/>
        <color theme="1"/>
        <rFont val="Calibri"/>
        <family val="2"/>
        <scheme val="minor"/>
      </rPr>
      <t>'</t>
    </r>
  </si>
  <si>
    <t>How to Change the Formatting Control</t>
  </si>
  <si>
    <t>In Word, if you use "Restrict Editing" to only allow "Filling in forms" or editing "Tracked Changes", Flex tables will create an error and Word will remove the surrounding Content Control.</t>
  </si>
  <si>
    <t>Restrict Editing Limitations in Word</t>
  </si>
  <si>
    <t>In the add-in: hover over underlined words for help text</t>
  </si>
  <si>
    <r>
      <t xml:space="preserve">On the </t>
    </r>
    <r>
      <rPr>
        <b/>
        <sz val="12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 xml:space="preserve"> tab of the add-in, under '</t>
    </r>
    <r>
      <rPr>
        <b/>
        <sz val="12"/>
        <color theme="1"/>
        <rFont val="Calibri"/>
        <family val="2"/>
        <scheme val="minor"/>
      </rPr>
      <t>Manage Linkable Content</t>
    </r>
    <r>
      <rPr>
        <sz val="11"/>
        <color theme="1"/>
        <rFont val="Calibri"/>
        <family val="2"/>
        <scheme val="minor"/>
      </rPr>
      <t>', '</t>
    </r>
    <r>
      <rPr>
        <b/>
        <sz val="12"/>
        <color theme="1"/>
        <rFont val="Calibri"/>
        <family val="2"/>
        <scheme val="minor"/>
      </rPr>
      <t>List/Manage Items</t>
    </r>
    <r>
      <rPr>
        <sz val="11"/>
        <color theme="1"/>
        <rFont val="Calibri"/>
        <family val="2"/>
        <scheme val="minor"/>
      </rPr>
      <t>'</t>
    </r>
  </si>
  <si>
    <t>Line 1&lt;/br&gt;Line 2&lt;/br&gt;Line 3</t>
  </si>
  <si>
    <t>Line breaks Without extra paragraph line spacing: add &lt;/br&gt;</t>
  </si>
  <si>
    <t>Paragraph 1
Paragraph 2
Paragraph 3</t>
  </si>
  <si>
    <t>Paragraphs: Alt-Enter to separate lines</t>
  </si>
  <si>
    <t>Flex Table Tips</t>
  </si>
  <si>
    <t>&lt;p&gt;Ordered List:&lt;/p&gt;&lt;p&gt;&lt;ol&gt;&lt;li&gt;Coffee&lt;/li&gt;&lt;li&gt;Tea&lt;/li&gt;&lt;li&gt;Milk&lt;/li&gt;&lt;/ol&gt;&lt;/p&gt;&lt;p&gt;UnOrdered List:&lt;/p&gt;&lt;p&gt;&lt;ul&gt;&lt;li&gt;Coffee&lt;/li&gt;&lt;li&gt;Tea&lt;/li&gt;&lt;li&gt;Milk&lt;/li&gt;&lt;/ul&gt;&lt;/p&gt;&lt;p&gt;&amp;nbsp;&amp;nbsp;&lt;/p&gt;</t>
  </si>
  <si>
    <t>Conditional Formatting, HyperLinks, lists, and many other possibilities</t>
  </si>
  <si>
    <t>&lt;img src="http://analysisplace.com/Logo.png" alt="AnalysisPlace"&gt;</t>
  </si>
  <si>
    <t>Images (could select different images based on scenario/logic)</t>
  </si>
  <si>
    <t>Text with &lt;b&gt;Bold&lt;/b&gt;, &lt;u&gt;Underlined&lt;/u&gt;, &lt;span style="color:red"&gt;Red&lt;span&gt;</t>
  </si>
  <si>
    <t>Formatted text (could be dynamic)</t>
  </si>
  <si>
    <t>You can include HTML content in Flex table cells. The HTML can be dynamic (based on logic/formulas)</t>
  </si>
  <si>
    <t>HTML in Cells</t>
  </si>
  <si>
    <t>Range Name above = r_TitlesInColumns</t>
  </si>
  <si>
    <t>data</t>
  </si>
  <si>
    <t>Content</t>
  </si>
  <si>
    <t>Section 2a</t>
  </si>
  <si>
    <t>Section 2</t>
  </si>
  <si>
    <t>Section 1a</t>
  </si>
  <si>
    <t>Section 1</t>
  </si>
  <si>
    <t>If you use titles in narrow columns that overlap onto adjacent cells, merge the cells</t>
  </si>
  <si>
    <t>Titles in Columns</t>
  </si>
  <si>
    <t>Net Profit (Loss)</t>
  </si>
  <si>
    <t>Less: Tax Expense</t>
  </si>
  <si>
    <t>Profit (Loss) Before Taxes</t>
  </si>
  <si>
    <t>Other Income</t>
  </si>
  <si>
    <t>Interest Income</t>
  </si>
  <si>
    <t>Operating Profit (Loss)</t>
  </si>
  <si>
    <t>Total Operating Expenses</t>
  </si>
  <si>
    <t>Other Expenses</t>
  </si>
  <si>
    <t>Other</t>
  </si>
  <si>
    <t>Wages</t>
  </si>
  <si>
    <t>Utilities/Telephone Expenses</t>
  </si>
  <si>
    <t>Travel</t>
  </si>
  <si>
    <t>Maintenance and Repairs</t>
  </si>
  <si>
    <t>Rent/Lease</t>
  </si>
  <si>
    <t>Office Supplies</t>
  </si>
  <si>
    <t>Mileage</t>
  </si>
  <si>
    <t>Interest</t>
  </si>
  <si>
    <t>Insurance</t>
  </si>
  <si>
    <t>Depreciation</t>
  </si>
  <si>
    <t>Delivery/Freight Expense</t>
  </si>
  <si>
    <t>Advertising</t>
  </si>
  <si>
    <t>Operating Expenses</t>
  </si>
  <si>
    <t>Gross Profit (Loss)</t>
  </si>
  <si>
    <t>Total Cost of Goods Sold</t>
  </si>
  <si>
    <t>Overhead</t>
  </si>
  <si>
    <t>Goods manufactured: Direct Labor</t>
  </si>
  <si>
    <t>Goods manufactured: Raw materials</t>
  </si>
  <si>
    <t>Cost of Goods Sold</t>
  </si>
  <si>
    <t>Net Sales</t>
  </si>
  <si>
    <t>Less: Discounts and Allowances</t>
  </si>
  <si>
    <t>Less: sales returns</t>
  </si>
  <si>
    <t>Gross sales</t>
  </si>
  <si>
    <t>Revenue</t>
  </si>
  <si>
    <t xml:space="preserve">      prior year</t>
  </si>
  <si>
    <t>current year</t>
  </si>
  <si>
    <t>US$000</t>
  </si>
  <si>
    <t>Income Statement</t>
  </si>
  <si>
    <t>Total</t>
  </si>
  <si>
    <t>West</t>
  </si>
  <si>
    <t>East</t>
  </si>
  <si>
    <t>South</t>
  </si>
  <si>
    <t>North</t>
  </si>
  <si>
    <t>Q4</t>
  </si>
  <si>
    <t>Q3</t>
  </si>
  <si>
    <t>Q2</t>
  </si>
  <si>
    <t>Q1</t>
  </si>
  <si>
    <t>Share</t>
  </si>
  <si>
    <t>Change</t>
  </si>
  <si>
    <t>Performance Trend</t>
  </si>
  <si>
    <t>Region</t>
  </si>
  <si>
    <t>Sales by Quarter</t>
  </si>
  <si>
    <t>This example shows sparklines, conditional formatting, and a chart in a range. The source of the image below is a named range in Excel.</t>
  </si>
  <si>
    <t>Botttom Brackets</t>
  </si>
  <si>
    <t>Components</t>
  </si>
  <si>
    <t>Jerseys</t>
  </si>
  <si>
    <t>Clothing</t>
  </si>
  <si>
    <t>Locks</t>
  </si>
  <si>
    <t>Accessories</t>
  </si>
  <si>
    <t>Lights</t>
  </si>
  <si>
    <t>Helmets</t>
  </si>
  <si>
    <t>Brakes</t>
  </si>
  <si>
    <t>Mountain Bikes</t>
  </si>
  <si>
    <t>Bikes</t>
  </si>
  <si>
    <t>Socks</t>
  </si>
  <si>
    <t>Handlebars</t>
  </si>
  <si>
    <t>Tights</t>
  </si>
  <si>
    <t>Shorts</t>
  </si>
  <si>
    <t>Bib-Shorts</t>
  </si>
  <si>
    <t>Chains</t>
  </si>
  <si>
    <t>Rating</t>
  </si>
  <si>
    <t>Sales</t>
  </si>
  <si>
    <t>Product</t>
  </si>
  <si>
    <t>Category</t>
  </si>
  <si>
    <t>Year</t>
  </si>
  <si>
    <t>Source Data for the PivotTables</t>
  </si>
  <si>
    <t>Grand Total</t>
  </si>
  <si>
    <t>Tip: To avoid having drop-down buttons appear in the image:</t>
  </si>
  <si>
    <t>Sum of Sales</t>
  </si>
  <si>
    <t>rPivotImage</t>
  </si>
  <si>
    <t>Image of PivotTable</t>
  </si>
  <si>
    <t>Column Labels</t>
  </si>
  <si>
    <t>rPivotDest</t>
  </si>
  <si>
    <t>Transferring as a Destination-formatted table may not work well for complex/changing PivotTables (e.g. subsections with row count changes) because formats are not transferred. Subtotal row formats may no longer be on the desired row.</t>
  </si>
  <si>
    <t>Destination-formatted PivotTable</t>
  </si>
  <si>
    <t>rPivotFlex</t>
  </si>
  <si>
    <t>PivotTable styles don't appear in Flex tables, so explicitly format your PivotTables (add bold text, borders, background, etc.)</t>
  </si>
  <si>
    <t>Flex-formatted PivotTables</t>
  </si>
  <si>
    <t>https://support.microsoft.com/en-us/office/create-a-pivottable-to-analyze-worksheet-data-a9a84538-bfe9-40a9-a8e9-f99134456576</t>
  </si>
  <si>
    <t>Microsoft PivotTable help:</t>
  </si>
  <si>
    <t>Tip: to hide the 'Row Labels' (top-left cell): Options &gt; Display &gt; uncheck 'Display field captions and filter drop downs'.</t>
  </si>
  <si>
    <t>Prepend the 'PivotTable Name' ('PivotTable Analyze' ribbon menu) with your prefix. The top labels row is not transferred.</t>
  </si>
  <si>
    <t>In the sample PPT doc, this updates a Destination table</t>
  </si>
  <si>
    <t>In the sample Word doc, this updates a Flex table</t>
  </si>
  <si>
    <t>hide</t>
  </si>
  <si>
    <t>Show All</t>
  </si>
  <si>
    <t>Row 15</t>
  </si>
  <si>
    <t>Row 14</t>
  </si>
  <si>
    <t>Row 13</t>
  </si>
  <si>
    <t>Row 12</t>
  </si>
  <si>
    <t>Row 11</t>
  </si>
  <si>
    <t>Row 10</t>
  </si>
  <si>
    <t>Row 9</t>
  </si>
  <si>
    <t>Row 8</t>
  </si>
  <si>
    <t>Row 7</t>
  </si>
  <si>
    <t>Row 6</t>
  </si>
  <si>
    <t>Row 5</t>
  </si>
  <si>
    <t>Row 4</t>
  </si>
  <si>
    <t>Row 3</t>
  </si>
  <si>
    <t>Column F</t>
  </si>
  <si>
    <t>Column E</t>
  </si>
  <si>
    <t>Column D</t>
  </si>
  <si>
    <t>Column C</t>
  </si>
  <si>
    <t>Column B</t>
  </si>
  <si>
    <t>Column A</t>
  </si>
  <si>
    <t>Hide Most</t>
  </si>
  <si>
    <t>Hide Some</t>
  </si>
  <si>
    <t>Scenario</t>
  </si>
  <si>
    <t>Scenario Index:</t>
  </si>
  <si>
    <t>Select a Scenario:</t>
  </si>
  <si>
    <t>To test this feature, select a Scenario from the drop-down list, then click "Auto-Hide Rows/Columns" in the add-in on the Submit tab.</t>
  </si>
  <si>
    <t>Show/hide content based on a drop-down list (like the example below) or more complex formulas/logic.</t>
  </si>
  <si>
    <t>Hide features (on rows in a table) when those features are out of scope for a specific project (e.g. based on a proposal generator configuration)</t>
  </si>
  <si>
    <t>Automatically hide unneeded years (columns) on a report when not needed</t>
  </si>
  <si>
    <r>
      <t xml:space="preserve">Automatically hide unneeded rows on a Flex table </t>
    </r>
    <r>
      <rPr>
        <b/>
        <sz val="12"/>
        <color theme="1"/>
        <rFont val="Calibri"/>
        <family val="2"/>
        <scheme val="minor"/>
      </rPr>
      <t>financial report</t>
    </r>
    <r>
      <rPr>
        <sz val="11"/>
        <color theme="1"/>
        <rFont val="Calibri"/>
        <family val="2"/>
        <scheme val="minor"/>
      </rPr>
      <t xml:space="preserve"> when not needed (summary report vs full report)</t>
    </r>
  </si>
  <si>
    <t>Example Use Cases</t>
  </si>
  <si>
    <t>"Submit" content, then Update in Word/PPT.</t>
  </si>
  <si>
    <t>Click the "Auto-Hide Rows/Columns" button on the "Submit" tab of the Excel add-in.</t>
  </si>
  <si>
    <t>Your formulas/logic should show which rows to hide with "hide" in the HideRow… or HideCol… name ranges</t>
  </si>
  <si>
    <t>Instructions - To Show/Hide Content (whenever needed)</t>
  </si>
  <si>
    <t>The "HideRow" ranges can be many rows high. The "HideCol" ranges can be many columns wide. These ranges can be hidden.</t>
  </si>
  <si>
    <t>You can add the range name starting with "HideRow" or "HideCol" to multiple sheets (e.g. HideRow_SheetA, HideRow_SheetB)</t>
  </si>
  <si>
    <t>The named ranges cannot be worksheet scoped.</t>
  </si>
  <si>
    <t>Use with the item property "Include hidden rows &amp; columns" = No or "_vis" suffix (see image on right). Otherwise Excel will transfer the table, including the hidden rows/columns.</t>
  </si>
  <si>
    <t>To hide columns: add a single-row range name starting with "HideCol". Add formula resulting in "hide" for the columns you want to hide.</t>
  </si>
  <si>
    <t>To hide rows: add a single-column range name starting with "HideRow". Add formula resulting in "hide" for the rows you want to hide.</t>
  </si>
  <si>
    <t>Instructions - To set up (one time)</t>
  </si>
  <si>
    <t xml:space="preserve">Automatically hides/unhides rows/columns when you click the "Auto-Hide Rows/Columns" button. Rows/columns to hide are based on cell value/formula. </t>
  </si>
  <si>
    <t>Net Income</t>
  </si>
  <si>
    <t>Income Tax</t>
  </si>
  <si>
    <t>Earnings Before Tax</t>
  </si>
  <si>
    <t>Interest Expense</t>
  </si>
  <si>
    <t>Earnings Before Interest and Tax</t>
  </si>
  <si>
    <t>Add'l income/expense items</t>
  </si>
  <si>
    <t>Operating Income</t>
  </si>
  <si>
    <t>Other Operating Items</t>
  </si>
  <si>
    <t>Non-Recurring Items</t>
  </si>
  <si>
    <t>Sales, General and Admin.</t>
  </si>
  <si>
    <t>Research and Development</t>
  </si>
  <si>
    <t>Gross Profit</t>
  </si>
  <si>
    <t>Cost of Revenue</t>
  </si>
  <si>
    <t>Total Revenue</t>
  </si>
  <si>
    <t>% of Revenue</t>
  </si>
  <si>
    <t>This example demonstrates that the destination content appearance can be very different from the source Excel format.</t>
  </si>
  <si>
    <t xml:space="preserve"> </t>
  </si>
  <si>
    <t>Groceries</t>
  </si>
  <si>
    <t>Best For You Organics Company</t>
  </si>
  <si>
    <t>Trey Research</t>
  </si>
  <si>
    <t>Education</t>
  </si>
  <si>
    <t>Bellows College</t>
  </si>
  <si>
    <t>Restaurant</t>
  </si>
  <si>
    <t>Coho Vineyard</t>
  </si>
  <si>
    <t>Transportation</t>
  </si>
  <si>
    <t>Northwind Electric Cars</t>
  </si>
  <si>
    <t>Communications</t>
  </si>
  <si>
    <t>The Phone Company</t>
  </si>
  <si>
    <t>Amount</t>
  </si>
  <si>
    <t>Date</t>
  </si>
  <si>
    <t>Merchant</t>
  </si>
  <si>
    <t>To include only visible rows/columns: in Excel, add the suffix "_visible" (or "_vis") after the range or table name. Hidden, filtered, or grouped rows will not appear in your Word/PowerPoint table. Can be combined with _body. 
The table below demonstrates this – the 'Category' column is filtered; which hides rows.  Because the table name ends with '_vis', only the visible rows/columns will be transferred to Word/PPT. The Word/PPT table will automatically be resized to match the Excel table.</t>
  </si>
  <si>
    <t>Learn More about Excel tables: https://support.office.com/en-us/article/overview-of-excel-tables-7ab0bb7d-3a9e-4b56-a3c9-6c94334e492c?ui=en-US&amp;rs=en-US&amp;ad=US</t>
  </si>
  <si>
    <t>To create an excel Table (Data Table), select the range of cells, then Styles &gt; Format as Table (or Insert &gt; Table) from the Excel ribbon. To name the table: select the table, Table Tools &gt; Design &gt; Properties &gt; Table Name. The name must start with the prefix.</t>
  </si>
  <si>
    <t>Qty</t>
  </si>
  <si>
    <t>Units</t>
  </si>
  <si>
    <t>Annual On-Going</t>
  </si>
  <si>
    <t>Example Financial Tables</t>
  </si>
  <si>
    <r>
      <t>4.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 xml:space="preserve"> “Update Document” in the add-in the destination document add-in. You should be able to see the changes, based on your Excel modifications</t>
    </r>
  </si>
  <si>
    <r>
      <t>2.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Optional: Make changes to any of the tables in one or more of the desired worksheets</t>
    </r>
  </si>
  <si>
    <r>
      <t>3.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“Submit Content” in the add-in. We recommend you check "This Sheet Only" to reduce usage consumption.</t>
    </r>
  </si>
  <si>
    <t>You are welcome to modify, use, and re-distibute the content in these documents</t>
  </si>
  <si>
    <t>Contents</t>
  </si>
  <si>
    <t>Topic</t>
  </si>
  <si>
    <t>Income</t>
  </si>
  <si>
    <t>Income Statements</t>
  </si>
  <si>
    <t>Dashboards</t>
  </si>
  <si>
    <t>Flex</t>
  </si>
  <si>
    <t>To Edit Flex Table Properties</t>
  </si>
  <si>
    <t>NM</t>
  </si>
  <si>
    <t>Rent</t>
  </si>
  <si>
    <t>Expenses</t>
  </si>
  <si>
    <t>(In millions)</t>
  </si>
  <si>
    <t>June 30,</t>
  </si>
  <si>
    <t>Assets</t>
  </si>
  <si>
    <t>Current assets:</t>
  </si>
  <si>
    <t>Cash and cash equivalents</t>
  </si>
  <si>
    <t>$</t>
  </si>
  <si>
    <t>Short-term investments</t>
  </si>
  <si>
    <t>Total cash, cash equivalents, and short-term investments</t>
  </si>
  <si>
    <t>Accounts receivable, net of allowance for doubtful accounts of $830 and $650</t>
  </si>
  <si>
    <t>Inventories</t>
  </si>
  <si>
    <t>Other current assets</t>
  </si>
  <si>
    <t>Total current assets</t>
  </si>
  <si>
    <t>Property and equipment, net of accumulated depreciation of $76,421 and $68,251</t>
  </si>
  <si>
    <t>Operating lease right-of-use assets</t>
  </si>
  <si>
    <t>Equity and other investments</t>
  </si>
  <si>
    <t>Goodwill</t>
  </si>
  <si>
    <t>Intangible assets, net</t>
  </si>
  <si>
    <t>Other long-term assets</t>
  </si>
  <si>
    <t>Total assets</t>
  </si>
  <si>
    <t>Liabilities and stockholders’ equity</t>
  </si>
  <si>
    <t>Current liabilities:</t>
  </si>
  <si>
    <t>Accounts payable</t>
  </si>
  <si>
    <t>Short-term debt</t>
  </si>
  <si>
    <t>Current portion of long-term debt</t>
  </si>
  <si>
    <t>Accrued compensation</t>
  </si>
  <si>
    <t>Short-term income taxes</t>
  </si>
  <si>
    <t>Short-term unearned revenue</t>
  </si>
  <si>
    <t>Other current liabilities</t>
  </si>
  <si>
    <t>Total current liabilities</t>
  </si>
  <si>
    <t>Long-term debt</t>
  </si>
  <si>
    <t>Long-term income taxes</t>
  </si>
  <si>
    <t>Long-term unearned revenue</t>
  </si>
  <si>
    <t>Deferred income taxes</t>
  </si>
  <si>
    <t>Operating lease liabilities</t>
  </si>
  <si>
    <t>Other long-term liabilities</t>
  </si>
  <si>
    <t>Total liabilities</t>
  </si>
  <si>
    <t>Commitments and contingencies</t>
  </si>
  <si>
    <t>Stockholders’ equity:</t>
  </si>
  <si>
    <t>Common stock and paid-in capital – shares authorized 24,000; outstanding 7,434 and 7,432</t>
  </si>
  <si>
    <t>Retained earnings</t>
  </si>
  <si>
    <t>Accumulated other comprehensive loss</t>
  </si>
  <si>
    <t>Total stockholders’ equity</t>
  </si>
  <si>
    <t>Total liabilities and stockholders’ equity</t>
  </si>
  <si>
    <t>Balance Sheet</t>
  </si>
  <si>
    <t>r_BalanceSheet</t>
  </si>
  <si>
    <t>Diluted shares outstanding (thousands)</t>
  </si>
  <si>
    <t>Earnings per share</t>
  </si>
  <si>
    <t>Net income (loss)</t>
  </si>
  <si>
    <t>pp</t>
  </si>
  <si>
    <t>Effective tax rate</t>
  </si>
  <si>
    <t>Income tax expense (benefit)</t>
  </si>
  <si>
    <t>Income before income taxes</t>
  </si>
  <si>
    <t>Other - net, income (expense)</t>
  </si>
  <si>
    <t>Other income</t>
  </si>
  <si>
    <t>Interest, net</t>
  </si>
  <si>
    <t>Operating income</t>
  </si>
  <si>
    <t>Asset impairment, restructuring, and other special charges</t>
  </si>
  <si>
    <t>Acquired in-process research and development</t>
  </si>
  <si>
    <t>Marketing, selling and administrative</t>
  </si>
  <si>
    <t>Research and development</t>
  </si>
  <si>
    <t>% of total revenue</t>
  </si>
  <si>
    <t>Gross margin</t>
  </si>
  <si>
    <t>Cost of sales</t>
  </si>
  <si>
    <t>Non-GAAP Adjusted</t>
  </si>
  <si>
    <t>Adjust-
ments †</t>
  </si>
  <si>
    <t>GAAP Reported</t>
  </si>
  <si>
    <t>% Chng</t>
  </si>
  <si>
    <t>($ in millions, except per share data)</t>
  </si>
  <si>
    <t>Six Months Ended</t>
  </si>
  <si>
    <t>Cash and cash equivalents at end of the period</t>
  </si>
  <si>
    <t>Cash and cash equivalents at beginning of the period</t>
  </si>
  <si>
    <t>Net increase (decrease) in cash and cash equivalents</t>
  </si>
  <si>
    <t>Effect of changes in exchange rates on cash</t>
  </si>
  <si>
    <t>Net cash flows</t>
  </si>
  <si>
    <t>Net cash provided by (used in) financing activities</t>
  </si>
  <si>
    <t>Tax benefit from share-based payments</t>
  </si>
  <si>
    <t>Repayment of debt and finance lease obligations</t>
  </si>
  <si>
    <t>Net proceeds from issuance of notes, net of issuance costs</t>
  </si>
  <si>
    <t>Net proceeds from issuance of shares</t>
  </si>
  <si>
    <t>Purchase of treasury shares</t>
  </si>
  <si>
    <t>Dividend paid</t>
  </si>
  <si>
    <t>CASH FLOWS FROM FINANCING ACTIVITIES</t>
  </si>
  <si>
    <t>Net cash provided by (used in) investing activities</t>
  </si>
  <si>
    <t>Acquisition of subsidiaries (net of cash acquired)</t>
  </si>
  <si>
    <t>Proceeds from sale of subsidiaries (net of cash disposed)</t>
  </si>
  <si>
    <t>Loans issued and other investments</t>
  </si>
  <si>
    <t>Cash from (used for) derivative financial instruments</t>
  </si>
  <si>
    <t>Maturity of short-term investments</t>
  </si>
  <si>
    <t>Purchase of short-term investments</t>
  </si>
  <si>
    <t>Purchase of intangible assets</t>
  </si>
  <si>
    <t>Purchase of property, plant and equipment</t>
  </si>
  <si>
    <t>CASH FLOWS FROM INVESTING ACTIVITIES</t>
  </si>
  <si>
    <t>Net cash provided by (used in) operating activities</t>
  </si>
  <si>
    <t>Changes in assets and liabilities</t>
  </si>
  <si>
    <t>Equity method investments</t>
  </si>
  <si>
    <t>Deferred tax expense (benefit)</t>
  </si>
  <si>
    <t>Inventory reserves</t>
  </si>
  <si>
    <t>Gain on sale of subsidiaries</t>
  </si>
  <si>
    <t>Share-based compensation expense</t>
  </si>
  <si>
    <t>Impairment and loss (gain) on disposal</t>
  </si>
  <si>
    <t>Depreciation and amortization</t>
  </si>
  <si>
    <t>Adjustments to reconcile net income to net cash flows from operating activities:</t>
  </si>
  <si>
    <t>Net income</t>
  </si>
  <si>
    <t>CASH FLOWS FROM OPERATING ACTIVITIES</t>
  </si>
  <si>
    <t xml:space="preserve"> (unaudited, in millions €)</t>
  </si>
  <si>
    <t>Jun 30,</t>
  </si>
  <si>
    <t>Mar 31,</t>
  </si>
  <si>
    <t>Dec 31,</t>
  </si>
  <si>
    <t>Oct 1,</t>
  </si>
  <si>
    <t>July 2,</t>
  </si>
  <si>
    <t>Three months ended,</t>
  </si>
  <si>
    <t>Cash Flow - Quarterly</t>
  </si>
  <si>
    <t>r_CashFlowQtrly</t>
  </si>
  <si>
    <t>Worksheet (Data Source)</t>
  </si>
  <si>
    <r>
      <t xml:space="preserve">If you are not already familiar with the basic features of the add-in, first see:  </t>
    </r>
    <r>
      <rPr>
        <u/>
        <sz val="12"/>
        <color rgb="FF0563C1"/>
        <rFont val="Calibri"/>
        <family val="2"/>
        <scheme val="minor"/>
      </rPr>
      <t>analysisplace.com</t>
    </r>
  </si>
  <si>
    <t>Current Period</t>
  </si>
  <si>
    <t>Prior Period</t>
  </si>
  <si>
    <t>Increase (Decrease)</t>
  </si>
  <si>
    <t>REVENUES</t>
  </si>
  <si>
    <t>Product/Service 1 …</t>
  </si>
  <si>
    <t>Product/Service 2 …</t>
  </si>
  <si>
    <t>Product/Service 3 …</t>
  </si>
  <si>
    <t>Other Revenue</t>
  </si>
  <si>
    <t>TOTAL REVENUES</t>
  </si>
  <si>
    <t>COST OF GOODS SOLD</t>
  </si>
  <si>
    <t>Salaries-Direct</t>
  </si>
  <si>
    <t>Payroll Taxes and Benefits-Direct</t>
  </si>
  <si>
    <t>Depreciation-Direct</t>
  </si>
  <si>
    <t>Supplies</t>
  </si>
  <si>
    <t>Other Direct Costs</t>
  </si>
  <si>
    <t>TOTAL COST OF GOODS SOLD</t>
  </si>
  <si>
    <t>GROSS PROFIT (LOSS)</t>
  </si>
  <si>
    <t>OPERATING EXPENSES</t>
  </si>
  <si>
    <t>Advertising and Promotion</t>
  </si>
  <si>
    <t>Automobile/Transportation</t>
  </si>
  <si>
    <t>Bad Debts/Losses and Thefts</t>
  </si>
  <si>
    <t>Bank Service Charges</t>
  </si>
  <si>
    <t>Business Licenses and Permits</t>
  </si>
  <si>
    <t>Charitable Contributions</t>
  </si>
  <si>
    <t>Computer and Internet</t>
  </si>
  <si>
    <t>Continuing Education</t>
  </si>
  <si>
    <t>Depreciation-Indirect</t>
  </si>
  <si>
    <t>Dues and Subscriptions</t>
  </si>
  <si>
    <t>Meals and Entertainment</t>
  </si>
  <si>
    <t>Merchant Account Fees</t>
  </si>
  <si>
    <t>Miscellaneous Expense</t>
  </si>
  <si>
    <t>Payroll Processing</t>
  </si>
  <si>
    <t>Postage and Delivery</t>
  </si>
  <si>
    <t>Printing and Reproduction</t>
  </si>
  <si>
    <t>Professional Services - Legal, Accounting</t>
  </si>
  <si>
    <t>Occupancy</t>
  </si>
  <si>
    <t>Rental Payments</t>
  </si>
  <si>
    <t>Salaries-Indirect</t>
  </si>
  <si>
    <t>Payroll Taxes and Benefits-Indirect</t>
  </si>
  <si>
    <t>Subcontractor</t>
  </si>
  <si>
    <t>Telephone</t>
  </si>
  <si>
    <t>Utilities</t>
  </si>
  <si>
    <t>Website Development</t>
  </si>
  <si>
    <t>TOTAL OPERATING EXPENSES</t>
  </si>
  <si>
    <t>OPERATING PROFIT (LOSS)</t>
  </si>
  <si>
    <t>INTEREST (INCOME), EXPENSE &amp; TAXES</t>
  </si>
  <si>
    <t>Interest (Income)</t>
  </si>
  <si>
    <t>Income Tax Expense</t>
  </si>
  <si>
    <t>TOTAL INTEREST (INCOME), EXPENSE &amp; TAXES</t>
  </si>
  <si>
    <t>NET INCOME (LOSS)</t>
  </si>
  <si>
    <t>07/01/24 to 09/30/24</t>
  </si>
  <si>
    <t>07/01/23 to 09/30/23</t>
  </si>
  <si>
    <t>Year 1</t>
  </si>
  <si>
    <t>Year 2</t>
  </si>
  <si>
    <t>Year 3</t>
  </si>
  <si>
    <t>Percent of Total</t>
  </si>
  <si>
    <t>Users</t>
  </si>
  <si>
    <t>Average price per sale</t>
  </si>
  <si>
    <t>Gross profit</t>
  </si>
  <si>
    <t>Sales &amp; marketing</t>
  </si>
  <si>
    <t>Customer service</t>
  </si>
  <si>
    <t>Product development</t>
  </si>
  <si>
    <t>Research</t>
  </si>
  <si>
    <t>Total expenses</t>
  </si>
  <si>
    <t>Basic Financials</t>
  </si>
  <si>
    <t>r_BasicFinancials</t>
  </si>
  <si>
    <t>Financial Statements</t>
  </si>
  <si>
    <t>Invoice</t>
  </si>
  <si>
    <t>SKU</t>
  </si>
  <si>
    <t>DESCRIPTION</t>
  </si>
  <si>
    <t>BIN #</t>
  </si>
  <si>
    <t>LOCATION</t>
  </si>
  <si>
    <t>UNIT</t>
  </si>
  <si>
    <t>QTY</t>
  </si>
  <si>
    <t>REORDER QTY</t>
  </si>
  <si>
    <t>COST</t>
  </si>
  <si>
    <t>INVENTORY VALUE</t>
  </si>
  <si>
    <t>REORDER</t>
  </si>
  <si>
    <t>SP7875</t>
  </si>
  <si>
    <t>Item 1</t>
  </si>
  <si>
    <t>T345</t>
  </si>
  <si>
    <t>Each</t>
  </si>
  <si>
    <t>TR87680</t>
  </si>
  <si>
    <t>Item 2</t>
  </si>
  <si>
    <t>MK676554</t>
  </si>
  <si>
    <t>Item 3</t>
  </si>
  <si>
    <t>T5789</t>
  </si>
  <si>
    <t>YE98767</t>
  </si>
  <si>
    <t>Item 4</t>
  </si>
  <si>
    <t>T9876</t>
  </si>
  <si>
    <t>Box (10 ct)</t>
  </si>
  <si>
    <t>XR23423</t>
  </si>
  <si>
    <t>Item 5</t>
  </si>
  <si>
    <t>T098</t>
  </si>
  <si>
    <t>PW98762</t>
  </si>
  <si>
    <t>Item 6</t>
  </si>
  <si>
    <t>BM87684</t>
  </si>
  <si>
    <t>Item 7</t>
  </si>
  <si>
    <t>T349</t>
  </si>
  <si>
    <t>BH67655</t>
  </si>
  <si>
    <t>Item 8</t>
  </si>
  <si>
    <t>WT98768</t>
  </si>
  <si>
    <t>Item 9</t>
  </si>
  <si>
    <t>T9875</t>
  </si>
  <si>
    <t>Package (5 ct)</t>
  </si>
  <si>
    <t>TS3456</t>
  </si>
  <si>
    <t>Item 10</t>
  </si>
  <si>
    <t>WDG123</t>
  </si>
  <si>
    <t>Item 11</t>
  </si>
  <si>
    <t>Inventory List</t>
  </si>
  <si>
    <t>Row 2, slot 1</t>
  </si>
  <si>
    <t>Row 1, slot 1</t>
  </si>
  <si>
    <t>Row 3, slot 2</t>
  </si>
  <si>
    <t>Row 3, slot 1</t>
  </si>
  <si>
    <t>Row 1, slot 2</t>
  </si>
  <si>
    <t>Row 2, slot 2</t>
  </si>
  <si>
    <t>Key Inputs</t>
  </si>
  <si>
    <t>Customer Name</t>
  </si>
  <si>
    <t>One Time</t>
  </si>
  <si>
    <t>Total Costs</t>
  </si>
  <si>
    <t>Total Benefits</t>
  </si>
  <si>
    <t>Net Benefits</t>
  </si>
  <si>
    <t>ROI (Net Benefits / Costs)</t>
  </si>
  <si>
    <t>Costs (Investment)</t>
  </si>
  <si>
    <t>Cost Type</t>
  </si>
  <si>
    <t>Benefits</t>
  </si>
  <si>
    <t>Benefit Type</t>
  </si>
  <si>
    <t>Revenue Gains (Margin)</t>
  </si>
  <si>
    <t>Cost Savings</t>
  </si>
  <si>
    <t>Productivity Savings</t>
  </si>
  <si>
    <t>Payback (Months)</t>
  </si>
  <si>
    <t>Costs and Benefits by Year</t>
  </si>
  <si>
    <t>Discount Rate (Weighted Average Cost of Capital)</t>
  </si>
  <si>
    <t>Used to discount the cash flows to calculate NPV (Net Present Value)</t>
  </si>
  <si>
    <t>Vendor Costs</t>
  </si>
  <si>
    <t>Internal Costs</t>
  </si>
  <si>
    <t>Internal Labor</t>
  </si>
  <si>
    <t>3rd Party Services</t>
  </si>
  <si>
    <t>Total (5-Year)</t>
  </si>
  <si>
    <t>Costs</t>
  </si>
  <si>
    <t>Cumulative</t>
  </si>
  <si>
    <t>Payback Calc</t>
  </si>
  <si>
    <t>Initial</t>
  </si>
  <si>
    <t>NPV</t>
  </si>
  <si>
    <t>max</t>
  </si>
  <si>
    <t>Contoso</t>
  </si>
  <si>
    <t>Net Present Value</t>
  </si>
  <si>
    <t>r_CostBenChartData</t>
  </si>
  <si>
    <t>r_CostBenSumText</t>
  </si>
  <si>
    <t>DAYS</t>
  </si>
  <si>
    <t>IN SALES OFFICE</t>
  </si>
  <si>
    <t>OUTSIDE OFFICE</t>
  </si>
  <si>
    <t>IN OFFICE VISITS</t>
  </si>
  <si>
    <t>OUTSIDE CALLS</t>
  </si>
  <si>
    <t>NEW ACCT. PHONE</t>
  </si>
  <si>
    <t>FOOD &amp; BEVERAGE</t>
  </si>
  <si>
    <t>MTG. ROOM RENTAL</t>
  </si>
  <si>
    <t>OTHER*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</si>
  <si>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</si>
  <si>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</si>
  <si>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</si>
  <si>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</si>
  <si>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</si>
  <si>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</si>
  <si>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</si>
  <si>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</si>
  <si>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</si>
  <si>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GOAL</t>
  </si>
  <si>
    <t>VARIANCE</t>
  </si>
  <si>
    <t>PERCENTAGE OF GOAL</t>
  </si>
  <si>
    <t>TOTAL SALES</t>
  </si>
  <si>
    <t>Expense Type</t>
  </si>
  <si>
    <t>Budget</t>
  </si>
  <si>
    <t>% Change from Prior Period</t>
  </si>
  <si>
    <t>% Change from Budget</t>
  </si>
  <si>
    <t>Sales and Marketing</t>
  </si>
  <si>
    <t>Direct marketing</t>
  </si>
  <si>
    <t>Technology licenses</t>
  </si>
  <si>
    <t xml:space="preserve">Patents </t>
  </si>
  <si>
    <t>General and Administrative</t>
  </si>
  <si>
    <t>Wages and salaries</t>
  </si>
  <si>
    <t>Outside services</t>
  </si>
  <si>
    <t>Meals and entertainment</t>
  </si>
  <si>
    <t>Lists and Transactions</t>
  </si>
  <si>
    <t>r_EmpHeadcountAnalysis</t>
  </si>
  <si>
    <t>Human Resources Dashboard</t>
  </si>
  <si>
    <t>Number of employees</t>
  </si>
  <si>
    <t>Number of employees 6m ago</t>
  </si>
  <si>
    <t>Increase in percentage</t>
  </si>
  <si>
    <t>Male</t>
  </si>
  <si>
    <t>Female</t>
  </si>
  <si>
    <t>Average age</t>
  </si>
  <si>
    <t>Employees more than 3y in company</t>
  </si>
  <si>
    <t>Hired in last 6 months</t>
  </si>
  <si>
    <t>Quit in last 6 months</t>
  </si>
  <si>
    <t>+6.2%</t>
  </si>
  <si>
    <t>Inputs</t>
  </si>
  <si>
    <t>Pie Chart</t>
  </si>
  <si>
    <t>Sales Dashboard</t>
  </si>
  <si>
    <t>Transactions and Lists</t>
  </si>
  <si>
    <t>Lists</t>
  </si>
  <si>
    <t>Sales Reporting</t>
  </si>
  <si>
    <t>PRODUCT REVENUE</t>
  </si>
  <si>
    <t>PRODUCT NAME</t>
  </si>
  <si>
    <t>COST PER ITEM</t>
  </si>
  <si>
    <t>MARKUP PERCENTAGE</t>
  </si>
  <si>
    <t>TOTAL SOLD</t>
  </si>
  <si>
    <t>TOTAL REVENUE</t>
  </si>
  <si>
    <t>SHIPPING CHARGE PER ITEM</t>
  </si>
  <si>
    <t>SHIPPING COST PER ITEM</t>
  </si>
  <si>
    <t>PROFIT PER ITEM</t>
  </si>
  <si>
    <t>RETURNS</t>
  </si>
  <si>
    <t>TOTAL INCOME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</si>
  <si>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</si>
  <si>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</si>
  <si>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</si>
  <si>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</si>
  <si>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</si>
  <si>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</si>
  <si>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</si>
  <si>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</si>
  <si>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REVENUE BREAKDOWN</t>
  </si>
  <si>
    <t>ALL</t>
  </si>
  <si>
    <t>PERCENTAGE</t>
  </si>
  <si>
    <t>TOTAL INCOME PER ITEM</t>
  </si>
  <si>
    <t>NET SALES</t>
  </si>
  <si>
    <t>Service</t>
  </si>
  <si>
    <t>TOTAL NET SALES</t>
  </si>
  <si>
    <t>COST OF SALES</t>
  </si>
  <si>
    <t>TOTAL COST OF SALES</t>
  </si>
  <si>
    <t>GROSS MARGIN</t>
  </si>
  <si>
    <t>Amortization of Purchased Intangible Assets</t>
  </si>
  <si>
    <t>In-Process Research and Development</t>
  </si>
  <si>
    <t>OPERATING INCOME</t>
  </si>
  <si>
    <t>Interest Income, Net</t>
  </si>
  <si>
    <t>Other Income, Net</t>
  </si>
  <si>
    <t>INTEREST AND OTHER INCOME, NET</t>
  </si>
  <si>
    <t>Provision for Income Taxes</t>
  </si>
  <si>
    <t>Cumulative Effect of Accounting Change, Net of Tax</t>
  </si>
  <si>
    <t>NET INCOME</t>
  </si>
  <si>
    <t>growth</t>
  </si>
  <si>
    <t>% of revenue</t>
  </si>
  <si>
    <t>% of income</t>
  </si>
  <si>
    <t>INCOME BEFORE TAXES AND ACCOUNTING CHANGE</t>
  </si>
  <si>
    <t>INCOME BEFORE ACCOUNTING CHANGE</t>
  </si>
  <si>
    <t>TCO comparison</t>
  </si>
  <si>
    <t>TCO</t>
  </si>
  <si>
    <t>Year 4</t>
  </si>
  <si>
    <t>Year 5</t>
  </si>
  <si>
    <t>Data for the charts</t>
  </si>
  <si>
    <t>Cost Component</t>
  </si>
  <si>
    <t>5-Year Cost</t>
  </si>
  <si>
    <t>Calculation and Assumptions</t>
  </si>
  <si>
    <t>Compute</t>
  </si>
  <si>
    <t>Current total licensing costs = $185,097/yr, Total licensing costs after the hardware refresh = $293,977/yr; SQL Server Enterprise License SA Licenses at $3,437 each: Current (51) = $175,287/yr, Refresh (81) = $278,397/yr; System Center Standard Edition SA Licenses at $192 each: Current (51) = $9,810/yr, Refresh (81) = $15,580/yr</t>
  </si>
  <si>
    <t>Storage</t>
  </si>
  <si>
    <t>Primary storage: 57.5TB of raw data with compression ratio of 3.0 = 19.2 TB of needed storage capacity at $23.00 per TB per month = $5,290 in year 1; Geo-redundant Storage Disaster Recovery: copy of primary storage = $13,236 in year 1; Standard (blob, data lake, dev, backup, staging) storage: 100% of primary data with compression ratio of 2.0 = 28.8TB of needed storage capacity at $0.0184 per GB per month = $6,348 in year 1; Archive storage: 100% of primary data with compression ratio of 5.0 = 11.5TB of needed storage capacity at $0.0020 per GB per month = $276 in year 1; Storage transaction costs (read/write operations) = $5,030 in year 1. Total storage cost in year 1 is $30,180</t>
  </si>
  <si>
    <t>Support</t>
  </si>
  <si>
    <t xml:space="preserve">Microsoft Premier Support is estimated to cost $16,105 in year 1. </t>
  </si>
  <si>
    <t>Hardware Refresh</t>
  </si>
  <si>
    <t>Hardware refresh cost - compute: HW cost per core ($1,164) * # of cores needed in year 5 (161) = $187,458; Hardware refresh cost - storage: Local disk/SAN-HDD/SSD - cost per GB ($0.400) * Needed Capacity in year 5 (GB) (301,704) = $120,681; Hardware refresh cost - networking = $46,221; Total license costs (added new licenses only) = $435,521 [30 new SQL Server Enterprise License licenses at $13,748 = $412,440; 30 new System Center Standard Edition licenses at $769 = $23,081]</t>
  </si>
  <si>
    <t>None</t>
  </si>
  <si>
    <t>Migration</t>
  </si>
  <si>
    <t>No migration costs</t>
  </si>
  <si>
    <t>877 hours of internal labor effort at $60 per hour = $52,774 + 877 hours of external (service provider) labor effort at $150 per hour = $131,502 + other migration cost = $1,000, totaling $185,276</t>
  </si>
  <si>
    <t>Administration Labor</t>
  </si>
  <si>
    <t>0.27 IT FTEs (Full Time Equivalents) are required to manage the servers (assumes each FTE can manage 100 servers) * $109,800 annual fully-burdened cost per FTE = $29,646 in year 1.</t>
  </si>
  <si>
    <t>0.06 IT FTEs (Full Time Equivalents) are required to manage the Azure services (assumes each FTE can manage 200 servers with 6 physical cores in each server) * $109,800 annual fully-burdened cost per FTE = $6,588 in year 1.</t>
  </si>
  <si>
    <t>Facilities</t>
  </si>
  <si>
    <t>27 RUs (Rack Units) required for compute and 9 RUs required for storage * $340 annual facilities cost per RU = $12,240 in year 1.</t>
  </si>
  <si>
    <t>Data Bandwidth</t>
  </si>
  <si>
    <t>2.88 TBs of bandwidth per month * $0.150 monthly Internet service provider cost per GB * 1000 GB/TB = $5,175 in year 1.</t>
  </si>
  <si>
    <t>2.88 TBs of data transferred out of Azure per month * $0.087 Azure outbound cost per GB * 1000 GB/TB = $3,002 in year 1. Inbound transfers are free.</t>
  </si>
  <si>
    <t>Electricity</t>
  </si>
  <si>
    <t>64 average watts per core * 161.051 cores = 10,367 watts * $0.133 per kilowatt-hour * 24hours/day * 365 days/year * 1000 watts/kW = $12,114 in year 1.</t>
  </si>
  <si>
    <t>Other (Dev, Test, etc.)</t>
  </si>
  <si>
    <t>$124,030 Dev/test resource cost and $0 Other = $124,030 'Other Costs' in year 1.</t>
  </si>
  <si>
    <t>$10,235 Dev/test resource cost in year 1</t>
  </si>
  <si>
    <t>Storage + Hardware Refresh</t>
  </si>
  <si>
    <t>8.0% * $91,991 Azure Synapse compute + storage spend = $7,359 in Unified Support Core (or similar) cost in year 1</t>
  </si>
  <si>
    <t>Current On-Premises Solution</t>
  </si>
  <si>
    <t>Cloud Equivalent</t>
  </si>
  <si>
    <t>Cloud TCO Comparison</t>
  </si>
  <si>
    <t>Provisioned analytics compute base monthly cost is $8,760 (online 70% of the time) with 16% discount = $61,811 in year 1</t>
  </si>
  <si>
    <t>Cloud TCO</t>
  </si>
  <si>
    <t>Current On-Premises TCO</t>
  </si>
  <si>
    <t>PROFIT</t>
  </si>
  <si>
    <t>Business Objective</t>
  </si>
  <si>
    <t>Added Revenue (Margin)</t>
  </si>
  <si>
    <t>Productivity</t>
  </si>
  <si>
    <t>Sales/Marketing Performance</t>
  </si>
  <si>
    <t>Sales Effectiveness</t>
  </si>
  <si>
    <t>Marketing Effectiveness</t>
  </si>
  <si>
    <t>Expand Customer Base</t>
  </si>
  <si>
    <t>Grow revenue per deal</t>
  </si>
  <si>
    <t>Reduce Sales Costs</t>
  </si>
  <si>
    <t>Reduce Marketing Costs</t>
  </si>
  <si>
    <t>Customer Service</t>
  </si>
  <si>
    <t>Customer Retention</t>
  </si>
  <si>
    <t>Operations / Supply Chain</t>
  </si>
  <si>
    <t>Supply Chain Costs</t>
  </si>
  <si>
    <t>Raw materials costs</t>
  </si>
  <si>
    <t>Workforce Productivity</t>
  </si>
  <si>
    <t>Database administrators</t>
  </si>
  <si>
    <t>Application developers and managers</t>
  </si>
  <si>
    <t>IT administration and support</t>
  </si>
  <si>
    <t>Data scientists</t>
  </si>
  <si>
    <t>Analytics Power Users</t>
  </si>
  <si>
    <t>Other Knowledge Workers</t>
  </si>
  <si>
    <t>Technology Performance</t>
  </si>
  <si>
    <t>Reduce Analytics TCO</t>
  </si>
  <si>
    <t>Business Management</t>
  </si>
  <si>
    <t>Fraud Reduction</t>
  </si>
  <si>
    <t>Business/financial planning</t>
  </si>
  <si>
    <t>Product/Service Development Effectiveness</t>
  </si>
  <si>
    <t>Expand product offerings</t>
  </si>
  <si>
    <t>Reduce R&amp;D costs</t>
  </si>
  <si>
    <t>Total Benefits ($000)</t>
  </si>
  <si>
    <t>ML/AI Program Benefits Summary</t>
  </si>
  <si>
    <t>Circuit bandwidth</t>
  </si>
  <si>
    <t>Standard Price per month</t>
  </si>
  <si>
    <t>Premium price per month</t>
  </si>
  <si>
    <t>50 Mbps</t>
  </si>
  <si>
    <t>100 Mbps</t>
  </si>
  <si>
    <t>200 Mbps</t>
  </si>
  <si>
    <t>500 Mbps</t>
  </si>
  <si>
    <t>1 Gbps</t>
  </si>
  <si>
    <t>2 Gbps</t>
  </si>
  <si>
    <t>5 Gbps</t>
  </si>
  <si>
    <t>10 Gbps</t>
  </si>
  <si>
    <t>Pricing Table</t>
  </si>
  <si>
    <t>Inbound data transfer included</t>
  </si>
  <si>
    <t>Outbound data transfer included</t>
  </si>
  <si>
    <t>Unlimited</t>
  </si>
  <si>
    <t>Configuration Summary and Explanation of TCO Calculations</t>
  </si>
  <si>
    <t>Example currency value mixed with text, using TEXT() formula:</t>
  </si>
  <si>
    <t>Comp 1</t>
  </si>
  <si>
    <t>Comp 2</t>
  </si>
  <si>
    <t>Comp 3</t>
  </si>
  <si>
    <t>Address</t>
  </si>
  <si>
    <t>City</t>
  </si>
  <si>
    <t>State</t>
  </si>
  <si>
    <t>Price</t>
  </si>
  <si>
    <t>Adjusted Price</t>
  </si>
  <si>
    <t>Property Rights</t>
  </si>
  <si>
    <t>Financing</t>
  </si>
  <si>
    <t>Conventional</t>
  </si>
  <si>
    <t>Conditions of Sale</t>
  </si>
  <si>
    <t>Cash</t>
  </si>
  <si>
    <t>Location</t>
  </si>
  <si>
    <t>% Adjustment</t>
  </si>
  <si>
    <t>$ Adjustment</t>
  </si>
  <si>
    <t>Acres</t>
  </si>
  <si>
    <t>Net Adjustments</t>
  </si>
  <si>
    <t>Gross Adjustments</t>
  </si>
  <si>
    <t>Real Estate Valuation Analysis</t>
  </si>
  <si>
    <t>Valuation  - Comparables Grid</t>
  </si>
  <si>
    <t>Subject</t>
  </si>
  <si>
    <t>123 Main Street</t>
  </si>
  <si>
    <t>New York</t>
  </si>
  <si>
    <t>Land Sales Grid</t>
  </si>
  <si>
    <t>FL</t>
  </si>
  <si>
    <t>--</t>
  </si>
  <si>
    <t>Price/Unit</t>
  </si>
  <si>
    <t>Transaction &amp; Market Trends Adjustments</t>
  </si>
  <si>
    <t>Fee Simple</t>
  </si>
  <si>
    <t>Normal</t>
  </si>
  <si>
    <t>After Transaction Adjustments</t>
  </si>
  <si>
    <t>Market Trends Thru</t>
  </si>
  <si>
    <t>After Market Trends Adjustment</t>
  </si>
  <si>
    <t>Other Adjustments</t>
  </si>
  <si>
    <t>Density</t>
  </si>
  <si>
    <t>Topography</t>
  </si>
  <si>
    <t>Level</t>
  </si>
  <si>
    <t>Shape</t>
  </si>
  <si>
    <t>Irregular</t>
  </si>
  <si>
    <t>All available</t>
  </si>
  <si>
    <t>Zoning</t>
  </si>
  <si>
    <t>Special Residential Facility Overlay</t>
  </si>
  <si>
    <t>PD</t>
  </si>
  <si>
    <t>BU-1</t>
  </si>
  <si>
    <t>Commercial</t>
  </si>
  <si>
    <t>234 Main Street</t>
  </si>
  <si>
    <t>345 Main Street</t>
  </si>
  <si>
    <t>456 Main Street</t>
  </si>
  <si>
    <t>Inferior</t>
  </si>
  <si>
    <t>Approach</t>
  </si>
  <si>
    <t>Appraisal</t>
  </si>
  <si>
    <t>Income Capitalization</t>
  </si>
  <si>
    <t>Sales Comparison</t>
  </si>
  <si>
    <t>Conclusion:</t>
  </si>
  <si>
    <t>Market Value Summary</t>
  </si>
  <si>
    <t>Cost Approach</t>
  </si>
  <si>
    <t xml:space="preserve">First Month: </t>
  </si>
  <si>
    <t>Units Sold</t>
  </si>
  <si>
    <t>Total Units Sold</t>
  </si>
  <si>
    <t>Product/Service A</t>
  </si>
  <si>
    <t>Product/Service B</t>
  </si>
  <si>
    <t>Unit Price</t>
  </si>
  <si>
    <t>Avg Unit Price</t>
  </si>
  <si>
    <t>Sales Growth Rate</t>
  </si>
  <si>
    <t>Avg Growth Rate</t>
  </si>
  <si>
    <t>Unit COGS</t>
  </si>
  <si>
    <t>Avg COGS</t>
  </si>
  <si>
    <t>Margin Per Unit</t>
  </si>
  <si>
    <t>Avg Margin</t>
  </si>
  <si>
    <t>Total Gross Profit</t>
  </si>
  <si>
    <t>1-Year Monthly Sales Forecast - 2 Products</t>
  </si>
  <si>
    <t>Unit Price ($)</t>
  </si>
  <si>
    <t>Line Total ($)</t>
  </si>
  <si>
    <t>Subtotal</t>
  </si>
  <si>
    <t>Currency is U.S. Dollars</t>
  </si>
  <si>
    <t>Sales Tax</t>
  </si>
  <si>
    <t>123 Main Street
New York, NY 10011</t>
  </si>
  <si>
    <t>r_InvoiceTable</t>
  </si>
  <si>
    <t>Product A</t>
  </si>
  <si>
    <t>Product B</t>
  </si>
  <si>
    <t>Product C</t>
  </si>
  <si>
    <t>Product D</t>
  </si>
  <si>
    <t>r_InvoiceDate</t>
  </si>
  <si>
    <t>r_InvoiceNumber</t>
  </si>
  <si>
    <t>r_InvoiceTo</t>
  </si>
  <si>
    <t>r_DueDate</t>
  </si>
  <si>
    <t>Invoice Table</t>
  </si>
  <si>
    <t>Price Lookup Table</t>
  </si>
  <si>
    <t>Product E</t>
  </si>
  <si>
    <t>Product F</t>
  </si>
  <si>
    <t>Product G</t>
  </si>
  <si>
    <t>Product H</t>
  </si>
  <si>
    <t>Product I</t>
  </si>
  <si>
    <t>Product J</t>
  </si>
  <si>
    <t>Sales Tax Percent</t>
  </si>
  <si>
    <t>Invoice Date</t>
  </si>
  <si>
    <t>Invoice Number</t>
  </si>
  <si>
    <t>Payment Terms (Days)</t>
  </si>
  <si>
    <t>Payment Terms</t>
  </si>
  <si>
    <t>Due Date</t>
  </si>
  <si>
    <t>Customer Address</t>
  </si>
  <si>
    <t>r_InvoiceAddress</t>
  </si>
  <si>
    <t>Sales Tracking Reports</t>
  </si>
  <si>
    <t>Sales by Day and Cateorgy</t>
  </si>
  <si>
    <t>Table Formats</t>
  </si>
  <si>
    <t>RangeName: r_IncomeStatement2</t>
  </si>
  <si>
    <t>Table with Filtered Rows</t>
  </si>
  <si>
    <t>These examples are based on Tables (Data Tables), not named ranges</t>
  </si>
  <si>
    <t>Destination-Formatted Example</t>
  </si>
  <si>
    <t>RangeName: r_IncomeStatement1</t>
  </si>
  <si>
    <t>Flex, Destination</t>
  </si>
  <si>
    <t>Image of range</t>
  </si>
  <si>
    <t>HR Dashboard</t>
  </si>
  <si>
    <t>How-To Examples</t>
  </si>
  <si>
    <t>Real Estate Valuations</t>
  </si>
  <si>
    <t>RE</t>
  </si>
  <si>
    <t>3 income statement examples with different table appearance settings.</t>
  </si>
  <si>
    <t>Inc</t>
  </si>
  <si>
    <t>Inc2</t>
  </si>
  <si>
    <t>Income statement with GAAP adjustment columns</t>
  </si>
  <si>
    <t>BS</t>
  </si>
  <si>
    <t>Cash Flow</t>
  </si>
  <si>
    <t>CF</t>
  </si>
  <si>
    <t>Summary financials by year</t>
  </si>
  <si>
    <t>Basic</t>
  </si>
  <si>
    <t>Cash Flow by Quarter</t>
  </si>
  <si>
    <t>Balance Sheet for 2 years</t>
  </si>
  <si>
    <t>Cost-Benefit-ROI Analysis</t>
  </si>
  <si>
    <t>ROI</t>
  </si>
  <si>
    <t>Several tables that assess costs, benefits, and ROI of an investment/initiative. Includes charts.</t>
  </si>
  <si>
    <t>Contains quantity/pricing table and various text inputs for dates, customer address, etc.</t>
  </si>
  <si>
    <t>Benefits Summary Table</t>
  </si>
  <si>
    <t>Summary of program benefits by business objective and benefit category</t>
  </si>
  <si>
    <t>Sales Forecast</t>
  </si>
  <si>
    <t>Forecast</t>
  </si>
  <si>
    <t>Sales forecast table by month</t>
  </si>
  <si>
    <t>Several sales tracking/reporting tables and charts</t>
  </si>
  <si>
    <t>Flex, Image of range
Charts</t>
  </si>
  <si>
    <t>Flex, Destination, Image</t>
  </si>
  <si>
    <t>Destination,
Charts updated from data</t>
  </si>
  <si>
    <t>Destination,
Text</t>
  </si>
  <si>
    <t>Demonstrates how to set up Auto-Hide. Automatically hides/unhides rows/columns based on cell value/formula when you click the "Auto-Hide Rows/Columns" button.</t>
  </si>
  <si>
    <t>4 tables analyzing TCO (Total Cost of Ownership) changes of a technology migration</t>
  </si>
  <si>
    <t>Flex, Text</t>
  </si>
  <si>
    <t>3 tables from expandable data tables: inventory list and 2 expenses tables. Also demonstrates how filtered rows can either be shown or hidden in Word/PPT.</t>
  </si>
  <si>
    <t>To Transfer Table Body Content Only: Add the suffix "_body" to only include data in the body (header row will be ignored).</t>
  </si>
  <si>
    <t>r_InventoryList</t>
  </si>
  <si>
    <t>r_Expenses</t>
  </si>
  <si>
    <t>In this example, hidden rows will still appear in Word/PPT</t>
  </si>
  <si>
    <t>r_ExpensesVisRowsOnly</t>
  </si>
  <si>
    <t>Industry/Functional Examples</t>
  </si>
  <si>
    <t>To exclude the top row (often labels), append the PivotTable's name with '_notop' or select 'Yes' for the property</t>
  </si>
  <si>
    <t>To transfer as an image, append the PivotTable's name with '_img'. Can combine: _notop_img OR configure the Item Properties</t>
  </si>
  <si>
    <t>Destination-formatted</t>
  </si>
  <si>
    <t>Flexible formatting options
Allow updating of Word tables with Excel-formatting
Fast
Great for financial reports
Easy to format</t>
  </si>
  <si>
    <t>Tables (including format) are created in Excel and replace the Word/PPT table during the update.</t>
  </si>
  <si>
    <t>Can use source (Excel) or specified table format or mix
Changes to table format in Word/PPT will be over-written by update
Table Styles not applied ^2</t>
  </si>
  <si>
    <t>No (in development)</t>
  </si>
  <si>
    <t>Table Format Comparison</t>
  </si>
  <si>
    <t>Comparison of Table Types</t>
  </si>
  <si>
    <t>Comparison of the 3 table types: Destination-formatted, Flex (Excel-formatted), Image</t>
  </si>
  <si>
    <t>Compare</t>
  </si>
  <si>
    <r>
      <t xml:space="preserve">The add-in allows you to update Word and PowerPoint tables in 3 ways: 1. </t>
    </r>
    <r>
      <rPr>
        <b/>
        <sz val="14"/>
        <color theme="1"/>
        <rFont val="Calibri"/>
        <family val="2"/>
        <scheme val="minor"/>
      </rPr>
      <t>Destination-formatted</t>
    </r>
    <r>
      <rPr>
        <sz val="14"/>
        <color theme="1"/>
        <rFont val="Calibri"/>
        <family val="2"/>
        <scheme val="minor"/>
      </rPr>
      <t xml:space="preserve"> tables, 2. Excel-formatted (</t>
    </r>
    <r>
      <rPr>
        <b/>
        <sz val="14"/>
        <color theme="1"/>
        <rFont val="Calibri"/>
        <family val="2"/>
        <scheme val="minor"/>
      </rPr>
      <t>Flex</t>
    </r>
    <r>
      <rPr>
        <sz val="14"/>
        <color theme="1"/>
        <rFont val="Calibri"/>
        <family val="2"/>
        <scheme val="minor"/>
      </rPr>
      <t xml:space="preserve">) tables, and 3. Via an </t>
    </r>
    <r>
      <rPr>
        <b/>
        <sz val="14"/>
        <color theme="1"/>
        <rFont val="Calibri"/>
        <family val="2"/>
        <scheme val="minor"/>
      </rPr>
      <t>image</t>
    </r>
    <r>
      <rPr>
        <sz val="14"/>
        <color theme="1"/>
        <rFont val="Calibri"/>
        <family val="2"/>
        <scheme val="minor"/>
      </rPr>
      <t xml:space="preserve"> of the source Excel range/table. 
The table below compares the 3 format methods.</t>
    </r>
  </si>
  <si>
    <t>Example Comparables Grid</t>
  </si>
  <si>
    <t>RangeName: r_Income_Dest</t>
  </si>
  <si>
    <t>RangeName: r_Income4</t>
  </si>
  <si>
    <t>r_IncomeComparison</t>
  </si>
  <si>
    <t>Income Statement - Landscape</t>
  </si>
  <si>
    <t xml:space="preserve">    $</t>
  </si>
  <si>
    <t>r_SalesTracking</t>
  </si>
  <si>
    <t>r_RevProfitForChart</t>
  </si>
  <si>
    <t>r_SalesForecastByMonth</t>
  </si>
  <si>
    <t>These are destination-formatted, so appearance is controlled in Word/PPT.</t>
  </si>
  <si>
    <t>r_TCO_Configuration</t>
  </si>
  <si>
    <t>r_TcoSummaryText</t>
  </si>
  <si>
    <t>r_CloudTCO</t>
  </si>
  <si>
    <t>r_PricingTable</t>
  </si>
  <si>
    <t>r_AIBenefitSummary</t>
  </si>
  <si>
    <t>r_CostBenSummary</t>
  </si>
  <si>
    <t>r_ProjectCostsSummary</t>
  </si>
  <si>
    <t>r_RealEstateCompsGrid</t>
  </si>
  <si>
    <t>Comp 4</t>
  </si>
  <si>
    <t>Comp 5</t>
  </si>
  <si>
    <t>HideCol_RealEstate</t>
  </si>
  <si>
    <t>r_MarketValueSummary</t>
  </si>
  <si>
    <t>r_SalesDashboard_Img</t>
  </si>
  <si>
    <t>Show All Columns</t>
  </si>
  <si>
    <t>PivotTables can be transfered as Flex tables, Destination-formatted tables, or an images (PNG).</t>
  </si>
  <si>
    <t>Image of a range that contains data, graphs, conditional content, sparklines,  and images.</t>
  </si>
  <si>
    <t>Image of a range contains data, graphs, and images.</t>
  </si>
  <si>
    <t>This example demonstrates how "Auto-Hide" can hide unneeded columns (and/or rows). Comps 4 and 5 are hidden because they are currently not needed.</t>
  </si>
  <si>
    <r>
      <t>1.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Activate the add-in in this workbook (the data source) and in the destination document ("Example Financial Tables.docx" or "Example Financial Tables.pptx").</t>
    </r>
  </si>
  <si>
    <t>Discounted Cash Flow</t>
  </si>
  <si>
    <t>2021A</t>
  </si>
  <si>
    <t>2022A</t>
  </si>
  <si>
    <t>2023A</t>
  </si>
  <si>
    <t>2024A</t>
  </si>
  <si>
    <t>2025A</t>
  </si>
  <si>
    <t>2026F</t>
  </si>
  <si>
    <t>2027F</t>
  </si>
  <si>
    <t>2028F</t>
  </si>
  <si>
    <t>2029F</t>
  </si>
  <si>
    <t>2030F</t>
  </si>
  <si>
    <t>2031F</t>
  </si>
  <si>
    <t>EBITDA</t>
  </si>
  <si>
    <t>Depreciation &amp; Amortization</t>
  </si>
  <si>
    <t>EBIT</t>
  </si>
  <si>
    <t>Taxes</t>
  </si>
  <si>
    <t>Capex</t>
  </si>
  <si>
    <t>Net Working Capital Change</t>
  </si>
  <si>
    <t>FCF (Free Cash Flow)</t>
  </si>
  <si>
    <t>Factor</t>
  </si>
  <si>
    <t>Discounted FCF</t>
  </si>
  <si>
    <t>WACC</t>
  </si>
  <si>
    <t>PGR (Perpetual Growth Rate)</t>
  </si>
  <si>
    <t>TV (Terminal Value)</t>
  </si>
  <si>
    <t>Discounted TV</t>
  </si>
  <si>
    <t>PV of CF</t>
  </si>
  <si>
    <t>Net Debt</t>
  </si>
  <si>
    <t>Minority Interest</t>
  </si>
  <si>
    <t>Equity Value</t>
  </si>
  <si>
    <t>1 Year Fwd EV/EBITDA</t>
  </si>
  <si>
    <t>1 Year Fwd EV/EBIT</t>
  </si>
  <si>
    <t>EV (Enterprise Value)</t>
  </si>
  <si>
    <t>DCF</t>
  </si>
  <si>
    <t>Basic DCF calculations to value an entity</t>
  </si>
  <si>
    <t>r_DCF_Results</t>
  </si>
  <si>
    <t>$ Millions</t>
  </si>
  <si>
    <t>r_DCF_CalculationsByYear</t>
  </si>
  <si>
    <t>Income Statement  - Excel Appearance</t>
  </si>
  <si>
    <t>Income Statement - Formal Report Appearance</t>
  </si>
  <si>
    <t>Income Statement - Detailed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</si>
</sst>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#,##0.0_);\(#,##0.0\)"/>
    <numFmt numFmtId="168" formatCode="#,##0_)%;\(#,##0\)%;&quot;-&quot;_)\%;_(@_)"/>
    <numFmt numFmtId="169" formatCode="_(&quot;$&quot;* #,##0.0_);_(&quot;$&quot;* \(#,##0.0\);_(&quot;$&quot;* &quot;-&quot;??_);_(@_)"/>
    <numFmt numFmtId="170" formatCode="_(* #,##0.0_);_(* \(#,##0.0\);_(* &quot;-&quot;??_);_(@_)"/>
    <numFmt numFmtId="171" formatCode="_(&quot;$&quot;* #,##0.00_);_(&quot;$&quot;* \(#,##0.00\);_(&quot;$&quot;* &quot;-&quot;?_);_(@_)"/>
    <numFmt numFmtId="172" formatCode="_(&quot;$&quot;* #,##0.0_);_(&quot;$&quot;* \(#,##0.0\);_(&quot;$&quot;* &quot;-&quot;?_);_(@_)"/>
    <numFmt numFmtId="173" formatCode="0.0%"/>
    <numFmt numFmtId="174" formatCode="* #,##0.0;* \(#,##0.0\);* &quot;-&quot;;_(@_)"/>
    <numFmt numFmtId="175" formatCode="mmmm\ d\,\ yyyy"/>
    <numFmt numFmtId="176" formatCode="* #,##0.0;* \(#,##0.0\);* &quot;—&quot;;_(@_)"/>
    <numFmt numFmtId="177" formatCode="#0;&quot;-&quot;#0;#0;_(@_)"/>
    <numFmt numFmtId="178" formatCode="#,##0.0"/>
    <numFmt numFmtId="179" formatCode="[$$]#,##0"/>
    <numFmt numFmtId="180" formatCode="#.###############"/>
    <numFmt numFmtId="181" formatCode="&quot;$&quot;#,##0.000"/>
    <numFmt numFmtId="182" formatCode="[$-409]mmm\-yy;@"/>
    <numFmt numFmtId="183" formatCode="[$-409]d\-mmm\-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2"/>
      <color rgb="FF0563C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rgb="FF444444"/>
      <name val="Open Sans"/>
      <family val="2"/>
    </font>
    <font>
      <sz val="12"/>
      <color theme="1"/>
      <name val="Verdana Pro Black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132E57"/>
      <name val="Montserrat"/>
    </font>
    <font>
      <sz val="10"/>
      <color rgb="FF132E57"/>
      <name val="Montserrat"/>
    </font>
    <font>
      <b/>
      <sz val="11"/>
      <color rgb="FF132E57"/>
      <name val="Montserrat"/>
    </font>
    <font>
      <b/>
      <sz val="10"/>
      <color rgb="FF2E4369"/>
      <name val="Montserrat"/>
    </font>
    <font>
      <sz val="10"/>
      <color rgb="FF2E4369"/>
      <name val="Montserrat"/>
    </font>
    <font>
      <sz val="10"/>
      <color rgb="FFFFFFFF"/>
      <name val="Montserrat"/>
    </font>
    <font>
      <b/>
      <sz val="10"/>
      <color rgb="FFFFFFFF"/>
      <name val="Montserrat"/>
    </font>
    <font>
      <b/>
      <sz val="12"/>
      <color rgb="FFFFFFFF"/>
      <name val="Montserrat"/>
    </font>
    <font>
      <sz val="12"/>
      <color theme="4"/>
      <name val="Calibri"/>
      <family val="2"/>
      <scheme val="minor"/>
    </font>
    <font>
      <sz val="11"/>
      <color rgb="FF262626"/>
      <name val="Segoe UI"/>
      <family val="2"/>
    </font>
    <font>
      <sz val="12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8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EE2724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Avenir Book"/>
      <family val="2"/>
    </font>
    <font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theme="1" tint="-0.2499465926084170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9"/>
      <color theme="5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18"/>
      <color theme="9" tint="-0.249977111117893"/>
      <name val="Century Gothic"/>
      <family val="2"/>
    </font>
    <font>
      <sz val="18"/>
      <name val="Arial"/>
      <family val="2"/>
    </font>
    <font>
      <b/>
      <sz val="8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b/>
      <sz val="11"/>
      <color rgb="FF242429"/>
      <name val="&amp;quot"/>
    </font>
    <font>
      <sz val="12"/>
      <color rgb="FF242429"/>
      <name val="&amp;quot"/>
    </font>
    <font>
      <b/>
      <sz val="11"/>
      <color rgb="FFFA7D00"/>
      <name val="Calibri"/>
      <family val="2"/>
      <scheme val="minor"/>
    </font>
    <font>
      <b/>
      <sz val="10"/>
      <color indexed="64"/>
      <name val="Calibri"/>
      <family val="2"/>
    </font>
    <font>
      <sz val="10"/>
      <color indexed="64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64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8"/>
      <name val="Source Sans Pro"/>
      <family val="2"/>
    </font>
    <font>
      <b/>
      <sz val="10"/>
      <color theme="8"/>
      <name val="Arial"/>
      <family val="2"/>
    </font>
    <font>
      <b/>
      <sz val="11"/>
      <color theme="8"/>
      <name val="Calibri"/>
      <family val="2"/>
      <scheme val="minor"/>
    </font>
    <font>
      <b/>
      <sz val="12"/>
      <color theme="8"/>
      <name val="Century Gothic"/>
      <family val="2"/>
    </font>
    <font>
      <sz val="8"/>
      <color theme="8"/>
      <name val="Arial"/>
      <family val="2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5F7"/>
        <bgColor rgb="FFF2F5F7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2E4369"/>
        <bgColor rgb="FF2E4369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88A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137">
    <border>
      <left/>
      <right/>
      <top/>
      <bottom/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thick">
        <color rgb="FF9CC2E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32E57"/>
      </top>
      <bottom style="double">
        <color rgb="FF132E57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rgb="FF132E57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2E4369"/>
      </bottom>
      <diagonal/>
    </border>
    <border>
      <left/>
      <right/>
      <top style="thin">
        <color rgb="FF000000"/>
      </top>
      <bottom style="double">
        <color rgb="FF2E4369"/>
      </bottom>
      <diagonal/>
    </border>
    <border>
      <left/>
      <right/>
      <top/>
      <bottom style="thin">
        <color rgb="FF2E436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388A6"/>
      </left>
      <right/>
      <top style="thin">
        <color rgb="FF0388A6"/>
      </top>
      <bottom style="thin">
        <color rgb="FF0388A6"/>
      </bottom>
      <diagonal/>
    </border>
    <border>
      <left/>
      <right/>
      <top style="thin">
        <color rgb="FF0388A6"/>
      </top>
      <bottom style="thin">
        <color rgb="FF0388A6"/>
      </bottom>
      <diagonal/>
    </border>
    <border>
      <left/>
      <right style="thin">
        <color rgb="FF0388A6"/>
      </right>
      <top style="thin">
        <color rgb="FF0388A6"/>
      </top>
      <bottom style="thin">
        <color rgb="FF0388A6"/>
      </bottom>
      <diagonal/>
    </border>
    <border>
      <left style="thin">
        <color rgb="FF0388A6"/>
      </left>
      <right/>
      <top/>
      <bottom style="thin">
        <color rgb="FF0388A6"/>
      </bottom>
      <diagonal/>
    </border>
    <border>
      <left/>
      <right/>
      <top/>
      <bottom style="thin">
        <color rgb="FF0388A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double">
        <color theme="0" tint="-0.14993743705557422"/>
      </top>
      <bottom style="thin">
        <color theme="0" tint="-0.14996795556505021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 style="thick">
        <color rgb="FF0078D4"/>
      </bottom>
      <diagonal/>
    </border>
    <border>
      <left style="medium">
        <color rgb="FF0078D4"/>
      </left>
      <right/>
      <top style="thick">
        <color rgb="FF0078D4"/>
      </top>
      <bottom style="medium">
        <color rgb="FF0078D4"/>
      </bottom>
      <diagonal/>
    </border>
    <border>
      <left/>
      <right/>
      <top style="thick">
        <color rgb="FF0078D4"/>
      </top>
      <bottom style="medium">
        <color rgb="FF0078D4"/>
      </bottom>
      <diagonal/>
    </border>
    <border>
      <left/>
      <right style="medium">
        <color rgb="FF0078D4"/>
      </right>
      <top style="thick">
        <color rgb="FF0078D4"/>
      </top>
      <bottom style="medium">
        <color rgb="FF0078D4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 style="medium">
        <color rgb="FF0078D4"/>
      </bottom>
      <diagonal/>
    </border>
    <border>
      <left style="medium">
        <color rgb="FF0078D4"/>
      </left>
      <right/>
      <top style="medium">
        <color rgb="FF0078D4"/>
      </top>
      <bottom style="medium">
        <color rgb="FF0078D4"/>
      </bottom>
      <diagonal/>
    </border>
    <border>
      <left/>
      <right/>
      <top style="medium">
        <color rgb="FF0078D4"/>
      </top>
      <bottom style="medium">
        <color rgb="FF0078D4"/>
      </bottom>
      <diagonal/>
    </border>
    <border>
      <left/>
      <right style="medium">
        <color rgb="FF0078D4"/>
      </right>
      <top style="medium">
        <color rgb="FF0078D4"/>
      </top>
      <bottom style="medium">
        <color rgb="FF0078D4"/>
      </bottom>
      <diagonal/>
    </border>
    <border>
      <left style="medium">
        <color rgb="FF0078D4"/>
      </left>
      <right/>
      <top style="medium">
        <color rgb="FF0078D4"/>
      </top>
      <bottom style="double">
        <color rgb="FF0078D4"/>
      </bottom>
      <diagonal/>
    </border>
    <border>
      <left/>
      <right/>
      <top style="medium">
        <color rgb="FF0078D4"/>
      </top>
      <bottom style="double">
        <color rgb="FF0078D4"/>
      </bottom>
      <diagonal/>
    </border>
    <border>
      <left/>
      <right style="medium">
        <color rgb="FF0078D4"/>
      </right>
      <top style="medium">
        <color rgb="FF0078D4"/>
      </top>
      <bottom style="double">
        <color rgb="FF0078D4"/>
      </bottom>
      <diagonal/>
    </border>
    <border>
      <left style="medium">
        <color rgb="FF0078D4"/>
      </left>
      <right style="medium">
        <color rgb="FF0078D4"/>
      </right>
      <top style="double">
        <color rgb="FF0078D4"/>
      </top>
      <bottom style="medium">
        <color rgb="FF0078D4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/>
      <diagonal/>
    </border>
    <border>
      <left/>
      <right/>
      <top style="thick">
        <color rgb="FFC9C9C9"/>
      </top>
      <bottom style="thick">
        <color rgb="FFC9C9C9"/>
      </bottom>
      <diagonal/>
    </border>
    <border>
      <left/>
      <right/>
      <top/>
      <bottom style="medium">
        <color rgb="FFDEDEDE"/>
      </bottom>
      <diagonal/>
    </border>
    <border>
      <left/>
      <right/>
      <top/>
      <bottom style="thick">
        <color rgb="FFC9C9C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8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8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8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thin">
        <color indexed="8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dotted">
        <color theme="0" tint="-0.499984740745262"/>
      </top>
      <bottom/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/>
      <top style="thin">
        <color indexed="64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/>
      <diagonal/>
    </border>
    <border>
      <left/>
      <right style="thin">
        <color indexed="64"/>
      </right>
      <top style="dash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4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5" borderId="4" applyNumberFormat="0" applyFont="0">
      <alignment horizontal="left" vertical="center" wrapText="1"/>
      <protection hidden="1"/>
    </xf>
    <xf numFmtId="0" fontId="14" fillId="9" borderId="16" applyNumberFormat="0" applyFont="0">
      <alignment vertical="center" wrapText="1"/>
      <protection locked="0" hidden="1"/>
    </xf>
    <xf numFmtId="0" fontId="16" fillId="11" borderId="16" applyNumberFormat="0">
      <alignment horizontal="center" wrapText="1"/>
    </xf>
    <xf numFmtId="0" fontId="14" fillId="14" borderId="4" applyNumberFormat="0">
      <alignment vertical="center" wrapText="1"/>
    </xf>
    <xf numFmtId="9" fontId="32" fillId="5" borderId="24" applyNumberFormat="0" applyFont="0" applyAlignment="0" applyProtection="0">
      <alignment vertical="center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4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30" fillId="5" borderId="24" applyNumberFormat="0" applyFont="0">
      <alignment vertical="center" wrapText="1"/>
    </xf>
    <xf numFmtId="0" fontId="61" fillId="0" borderId="0" applyNumberFormat="0" applyFill="0" applyBorder="0" applyProtection="0">
      <alignment horizontal="left" wrapText="1"/>
    </xf>
    <xf numFmtId="0" fontId="62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0" fillId="5" borderId="16" applyNumberFormat="0">
      <alignment horizontal="center" wrapText="1"/>
      <protection hidden="1"/>
    </xf>
    <xf numFmtId="0" fontId="55" fillId="26" borderId="83" applyNumberFormat="0" applyAlignment="0" applyProtection="0"/>
    <xf numFmtId="0" fontId="84" fillId="27" borderId="83" applyNumberFormat="0" applyAlignment="0" applyProtection="0"/>
    <xf numFmtId="0" fontId="4" fillId="28" borderId="0" applyNumberFormat="0" applyBorder="0" applyAlignment="0" applyProtection="0"/>
    <xf numFmtId="0" fontId="1" fillId="35" borderId="0" applyNumberFormat="0" applyBorder="0" applyAlignment="0" applyProtection="0"/>
  </cellStyleXfs>
  <cellXfs count="607">
    <xf numFmtId="0" fontId="0" fillId="0" borderId="0" xfId="0"/>
    <xf numFmtId="0" fontId="0" fillId="0" borderId="1" xfId="0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3" fillId="0" borderId="0" xfId="0" applyFont="1"/>
    <xf numFmtId="164" fontId="0" fillId="0" borderId="0" xfId="0" applyNumberFormat="1"/>
    <xf numFmtId="0" fontId="8" fillId="5" borderId="4" xfId="6" applyFont="1">
      <alignment horizontal="left" vertical="center" wrapText="1"/>
      <protection hidden="1"/>
    </xf>
    <xf numFmtId="0" fontId="15" fillId="0" borderId="5" xfId="0" applyFont="1" applyBorder="1" applyAlignment="1">
      <alignment horizontal="center" vertical="center" wrapText="1"/>
    </xf>
    <xf numFmtId="22" fontId="0" fillId="0" borderId="5" xfId="0" applyNumberFormat="1" applyBorder="1"/>
    <xf numFmtId="0" fontId="16" fillId="3" borderId="6" xfId="4" applyFont="1" applyBorder="1" applyAlignment="1">
      <alignment horizontal="center" vertical="center" wrapText="1"/>
    </xf>
    <xf numFmtId="0" fontId="0" fillId="6" borderId="0" xfId="0" applyFill="1"/>
    <xf numFmtId="0" fontId="17" fillId="0" borderId="0" xfId="0" applyFont="1"/>
    <xf numFmtId="0" fontId="0" fillId="0" borderId="0" xfId="0" applyAlignment="1">
      <alignment vertical="top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7" borderId="7" xfId="0" applyFill="1" applyBorder="1"/>
    <xf numFmtId="0" fontId="0" fillId="7" borderId="0" xfId="0" applyFill="1"/>
    <xf numFmtId="0" fontId="18" fillId="0" borderId="0" xfId="0" applyFont="1"/>
    <xf numFmtId="165" fontId="19" fillId="0" borderId="8" xfId="0" applyNumberFormat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0" fontId="18" fillId="0" borderId="0" xfId="0" applyNumberFormat="1" applyFont="1"/>
    <xf numFmtId="165" fontId="20" fillId="8" borderId="10" xfId="0" applyNumberFormat="1" applyFont="1" applyFill="1" applyBorder="1" applyAlignment="1">
      <alignment horizontal="right" vertical="center"/>
    </xf>
    <xf numFmtId="0" fontId="20" fillId="8" borderId="10" xfId="0" applyFont="1" applyFill="1" applyBorder="1" applyAlignment="1">
      <alignment vertical="center"/>
    </xf>
    <xf numFmtId="165" fontId="20" fillId="8" borderId="0" xfId="0" applyNumberFormat="1" applyFont="1" applyFill="1" applyAlignment="1">
      <alignment horizontal="right" vertical="center"/>
    </xf>
    <xf numFmtId="0" fontId="20" fillId="8" borderId="0" xfId="0" applyFont="1" applyFill="1" applyAlignment="1">
      <alignment vertical="center"/>
    </xf>
    <xf numFmtId="0" fontId="19" fillId="0" borderId="8" xfId="0" applyFont="1" applyBorder="1" applyAlignment="1">
      <alignment vertical="center"/>
    </xf>
    <xf numFmtId="165" fontId="20" fillId="8" borderId="11" xfId="0" applyNumberFormat="1" applyFont="1" applyFill="1" applyBorder="1" applyAlignment="1">
      <alignment horizontal="right" vertical="center"/>
    </xf>
    <xf numFmtId="0" fontId="19" fillId="8" borderId="11" xfId="0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/>
    <xf numFmtId="0" fontId="19" fillId="8" borderId="0" xfId="0" applyFont="1" applyFill="1" applyAlignment="1">
      <alignment vertical="center"/>
    </xf>
    <xf numFmtId="165" fontId="20" fillId="8" borderId="12" xfId="0" applyNumberFormat="1" applyFont="1" applyFill="1" applyBorder="1" applyAlignment="1">
      <alignment horizontal="right" vertical="center"/>
    </xf>
    <xf numFmtId="0" fontId="20" fillId="8" borderId="12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165" fontId="22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23" fillId="8" borderId="15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left" vertical="center"/>
    </xf>
    <xf numFmtId="165" fontId="20" fillId="9" borderId="4" xfId="7" applyNumberFormat="1" applyFont="1" applyBorder="1">
      <alignment vertical="center" wrapText="1"/>
      <protection locked="0" hidden="1"/>
    </xf>
    <xf numFmtId="0" fontId="23" fillId="8" borderId="17" xfId="0" applyFont="1" applyFill="1" applyBorder="1" applyAlignment="1">
      <alignment vertical="center"/>
    </xf>
    <xf numFmtId="0" fontId="23" fillId="0" borderId="0" xfId="0" applyFont="1"/>
    <xf numFmtId="0" fontId="24" fillId="10" borderId="18" xfId="0" applyFont="1" applyFill="1" applyBorder="1" applyAlignment="1">
      <alignment horizontal="right" vertical="center" wrapText="1"/>
    </xf>
    <xf numFmtId="0" fontId="25" fillId="10" borderId="0" xfId="0" applyFont="1" applyFill="1" applyAlignment="1">
      <alignment horizontal="right" vertical="center" wrapText="1"/>
    </xf>
    <xf numFmtId="0" fontId="24" fillId="10" borderId="0" xfId="0" applyFont="1" applyFill="1"/>
    <xf numFmtId="0" fontId="26" fillId="1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/>
    <xf numFmtId="9" fontId="0" fillId="0" borderId="0" xfId="0" applyNumberFormat="1"/>
    <xf numFmtId="0" fontId="16" fillId="11" borderId="16" xfId="8">
      <alignment horizontal="center" wrapText="1"/>
    </xf>
    <xf numFmtId="165" fontId="0" fillId="0" borderId="0" xfId="0" applyNumberFormat="1"/>
    <xf numFmtId="0" fontId="27" fillId="0" borderId="0" xfId="0" applyFont="1"/>
    <xf numFmtId="0" fontId="28" fillId="0" borderId="0" xfId="0" applyFont="1" applyAlignment="1">
      <alignment vertical="center" wrapText="1"/>
    </xf>
    <xf numFmtId="0" fontId="1" fillId="2" borderId="21" xfId="3" applyBorder="1"/>
    <xf numFmtId="0" fontId="0" fillId="5" borderId="4" xfId="6" applyFont="1">
      <alignment horizontal="left" vertical="center" wrapText="1"/>
      <protection hidden="1"/>
    </xf>
    <xf numFmtId="0" fontId="0" fillId="0" borderId="0" xfId="0" applyAlignment="1">
      <alignment horizontal="center"/>
    </xf>
    <xf numFmtId="0" fontId="14" fillId="14" borderId="4" xfId="9">
      <alignment vertical="center" wrapText="1"/>
    </xf>
    <xf numFmtId="0" fontId="30" fillId="9" borderId="22" xfId="7" applyFont="1" applyBorder="1" applyAlignment="1" applyProtection="1"/>
    <xf numFmtId="0" fontId="6" fillId="0" borderId="0" xfId="0" applyFont="1" applyAlignment="1">
      <alignment vertical="center"/>
    </xf>
    <xf numFmtId="6" fontId="0" fillId="0" borderId="0" xfId="0" applyNumberFormat="1"/>
    <xf numFmtId="6" fontId="0" fillId="9" borderId="16" xfId="7" applyNumberFormat="1" applyFont="1">
      <alignment vertical="center" wrapText="1"/>
      <protection locked="0" hidden="1"/>
    </xf>
    <xf numFmtId="14" fontId="16" fillId="11" borderId="16" xfId="8" applyNumberFormat="1">
      <alignment horizontal="center" wrapText="1"/>
    </xf>
    <xf numFmtId="14" fontId="16" fillId="11" borderId="16" xfId="8" quotePrefix="1" applyNumberFormat="1">
      <alignment horizontal="center" wrapText="1"/>
    </xf>
    <xf numFmtId="0" fontId="31" fillId="0" borderId="0" xfId="0" applyFont="1"/>
    <xf numFmtId="0" fontId="11" fillId="0" borderId="0" xfId="0" applyFont="1" applyAlignment="1">
      <alignment horizontal="right"/>
    </xf>
    <xf numFmtId="0" fontId="2" fillId="0" borderId="0" xfId="2"/>
    <xf numFmtId="0" fontId="29" fillId="0" borderId="0" xfId="0" applyFont="1" applyAlignment="1">
      <alignment wrapText="1"/>
    </xf>
    <xf numFmtId="0" fontId="34" fillId="0" borderId="0" xfId="1"/>
    <xf numFmtId="3" fontId="0" fillId="0" borderId="0" xfId="0" applyNumberFormat="1"/>
    <xf numFmtId="0" fontId="0" fillId="0" borderId="29" xfId="0" applyBorder="1"/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8" xfId="0" applyBorder="1" applyAlignment="1">
      <alignment horizontal="left" indent="2"/>
    </xf>
    <xf numFmtId="3" fontId="0" fillId="0" borderId="28" xfId="0" applyNumberFormat="1" applyBorder="1"/>
    <xf numFmtId="3" fontId="3" fillId="0" borderId="0" xfId="0" applyNumberFormat="1" applyFont="1"/>
    <xf numFmtId="3" fontId="3" fillId="0" borderId="28" xfId="0" applyNumberFormat="1" applyFont="1" applyBorder="1"/>
    <xf numFmtId="0" fontId="0" fillId="0" borderId="28" xfId="0" applyBorder="1" applyAlignment="1">
      <alignment horizontal="left" indent="3"/>
    </xf>
    <xf numFmtId="0" fontId="0" fillId="0" borderId="28" xfId="0" applyBorder="1" applyAlignment="1">
      <alignment horizontal="left" indent="4"/>
    </xf>
    <xf numFmtId="0" fontId="0" fillId="0" borderId="28" xfId="0" applyBorder="1" applyAlignment="1">
      <alignment horizontal="left" indent="5"/>
    </xf>
    <xf numFmtId="176" fontId="45" fillId="0" borderId="30" xfId="0" applyNumberFormat="1" applyFont="1" applyBorder="1" applyAlignment="1">
      <alignment wrapText="1"/>
    </xf>
    <xf numFmtId="0" fontId="45" fillId="0" borderId="30" xfId="0" applyFont="1" applyBorder="1" applyAlignment="1">
      <alignment wrapText="1"/>
    </xf>
    <xf numFmtId="0" fontId="45" fillId="0" borderId="30" xfId="0" applyFont="1" applyBorder="1" applyAlignment="1">
      <alignment horizontal="left" wrapText="1"/>
    </xf>
    <xf numFmtId="176" fontId="45" fillId="0" borderId="12" xfId="0" applyNumberFormat="1" applyFont="1" applyBorder="1" applyAlignment="1">
      <alignment wrapText="1"/>
    </xf>
    <xf numFmtId="0" fontId="45" fillId="0" borderId="12" xfId="0" applyFont="1" applyBorder="1" applyAlignment="1">
      <alignment horizontal="left" wrapText="1"/>
    </xf>
    <xf numFmtId="176" fontId="45" fillId="0" borderId="31" xfId="0" applyNumberFormat="1" applyFont="1" applyBorder="1" applyAlignment="1">
      <alignment wrapText="1"/>
    </xf>
    <xf numFmtId="0" fontId="45" fillId="0" borderId="31" xfId="0" applyFont="1" applyBorder="1" applyAlignment="1">
      <alignment wrapText="1"/>
    </xf>
    <xf numFmtId="0" fontId="45" fillId="0" borderId="31" xfId="0" applyFont="1" applyBorder="1" applyAlignment="1">
      <alignment horizontal="left" wrapText="1"/>
    </xf>
    <xf numFmtId="176" fontId="45" fillId="0" borderId="0" xfId="0" applyNumberFormat="1" applyFont="1" applyAlignment="1">
      <alignment wrapText="1"/>
    </xf>
    <xf numFmtId="0" fontId="45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45" fillId="0" borderId="32" xfId="0" applyFont="1" applyBorder="1" applyAlignment="1">
      <alignment wrapText="1"/>
    </xf>
    <xf numFmtId="0" fontId="45" fillId="0" borderId="32" xfId="0" applyFont="1" applyBorder="1" applyAlignment="1">
      <alignment horizontal="left" wrapText="1"/>
    </xf>
    <xf numFmtId="177" fontId="45" fillId="0" borderId="33" xfId="0" applyNumberFormat="1" applyFont="1" applyBorder="1" applyAlignment="1">
      <alignment horizontal="right" wrapText="1"/>
    </xf>
    <xf numFmtId="0" fontId="45" fillId="0" borderId="33" xfId="0" applyFont="1" applyBorder="1" applyAlignment="1">
      <alignment horizontal="left" wrapText="1"/>
    </xf>
    <xf numFmtId="0" fontId="45" fillId="0" borderId="0" xfId="0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34" xfId="0" applyNumberFormat="1" applyBorder="1"/>
    <xf numFmtId="165" fontId="3" fillId="12" borderId="19" xfId="0" applyNumberFormat="1" applyFont="1" applyFill="1" applyBorder="1"/>
    <xf numFmtId="0" fontId="3" fillId="12" borderId="19" xfId="0" applyFont="1" applyFill="1" applyBorder="1" applyAlignment="1">
      <alignment horizontal="left"/>
    </xf>
    <xf numFmtId="0" fontId="3" fillId="13" borderId="34" xfId="0" applyFont="1" applyFill="1" applyBorder="1" applyAlignment="1">
      <alignment horizontal="left"/>
    </xf>
    <xf numFmtId="0" fontId="3" fillId="13" borderId="20" xfId="0" applyFont="1" applyFill="1" applyBorder="1"/>
    <xf numFmtId="0" fontId="0" fillId="0" borderId="0" xfId="0" pivotButton="1" applyAlignment="1">
      <alignment wrapText="1"/>
    </xf>
    <xf numFmtId="0" fontId="3" fillId="0" borderId="0" xfId="0" applyFont="1" applyAlignment="1">
      <alignment horizontal="center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 indent="1"/>
      <protection locked="0"/>
    </xf>
    <xf numFmtId="44" fontId="1" fillId="0" borderId="0" xfId="12" applyFont="1" applyProtection="1">
      <protection locked="0"/>
    </xf>
    <xf numFmtId="43" fontId="1" fillId="0" borderId="0" xfId="11" applyFont="1" applyProtection="1">
      <protection locked="0"/>
    </xf>
    <xf numFmtId="43" fontId="1" fillId="0" borderId="35" xfId="11" applyFont="1" applyBorder="1" applyProtection="1">
      <protection locked="0"/>
    </xf>
    <xf numFmtId="43" fontId="3" fillId="0" borderId="0" xfId="11" applyFont="1"/>
    <xf numFmtId="43" fontId="1" fillId="0" borderId="0" xfId="11" applyFont="1"/>
    <xf numFmtId="43" fontId="1" fillId="0" borderId="0" xfId="11" applyFont="1" applyProtection="1">
      <protection hidden="1"/>
    </xf>
    <xf numFmtId="0" fontId="0" fillId="0" borderId="0" xfId="0" applyProtection="1">
      <protection hidden="1"/>
    </xf>
    <xf numFmtId="43" fontId="1" fillId="0" borderId="0" xfId="11" applyFont="1" applyFill="1" applyProtection="1">
      <protection hidden="1"/>
    </xf>
    <xf numFmtId="43" fontId="1" fillId="0" borderId="0" xfId="11" applyFont="1" applyFill="1" applyProtection="1">
      <protection locked="0"/>
    </xf>
    <xf numFmtId="43" fontId="1" fillId="0" borderId="35" xfId="11" applyFont="1" applyFill="1" applyBorder="1" applyProtection="1">
      <protection locked="0"/>
    </xf>
    <xf numFmtId="43" fontId="1" fillId="0" borderId="0" xfId="11" applyFont="1" applyFill="1"/>
    <xf numFmtId="44" fontId="1" fillId="0" borderId="0" xfId="12" applyFont="1" applyFill="1" applyProtection="1">
      <protection hidden="1"/>
    </xf>
    <xf numFmtId="44" fontId="3" fillId="0" borderId="36" xfId="12" applyFont="1" applyFill="1" applyBorder="1" applyProtection="1">
      <protection hidden="1"/>
    </xf>
    <xf numFmtId="173" fontId="44" fillId="0" borderId="0" xfId="0" applyNumberFormat="1" applyFont="1" applyAlignment="1">
      <alignment horizontal="right" wrapText="1"/>
    </xf>
    <xf numFmtId="0" fontId="47" fillId="16" borderId="38" xfId="0" applyFont="1" applyFill="1" applyBorder="1" applyAlignment="1">
      <alignment horizontal="right" wrapText="1" indent="1" readingOrder="1"/>
    </xf>
    <xf numFmtId="0" fontId="47" fillId="16" borderId="39" xfId="0" applyFont="1" applyFill="1" applyBorder="1" applyAlignment="1">
      <alignment horizontal="right" wrapText="1" indent="1" readingOrder="1"/>
    </xf>
    <xf numFmtId="0" fontId="48" fillId="0" borderId="37" xfId="0" applyFont="1" applyBorder="1" applyAlignment="1">
      <alignment horizontal="left" wrapText="1" readingOrder="1"/>
    </xf>
    <xf numFmtId="0" fontId="36" fillId="0" borderId="38" xfId="0" applyFont="1" applyBorder="1" applyAlignment="1">
      <alignment horizontal="right" vertical="center" wrapText="1" indent="1"/>
    </xf>
    <xf numFmtId="0" fontId="36" fillId="0" borderId="39" xfId="0" applyFont="1" applyBorder="1" applyAlignment="1">
      <alignment horizontal="right" vertical="center" wrapText="1" indent="1"/>
    </xf>
    <xf numFmtId="0" fontId="48" fillId="0" borderId="37" xfId="0" applyFont="1" applyBorder="1" applyAlignment="1">
      <alignment horizontal="left" wrapText="1" indent="2" readingOrder="1"/>
    </xf>
    <xf numFmtId="3" fontId="48" fillId="0" borderId="38" xfId="0" applyNumberFormat="1" applyFont="1" applyBorder="1" applyAlignment="1">
      <alignment horizontal="right" wrapText="1" indent="1" readingOrder="1"/>
    </xf>
    <xf numFmtId="0" fontId="48" fillId="0" borderId="38" xfId="0" applyFont="1" applyBorder="1" applyAlignment="1">
      <alignment horizontal="right" wrapText="1" indent="1" readingOrder="1"/>
    </xf>
    <xf numFmtId="0" fontId="49" fillId="0" borderId="37" xfId="0" applyFont="1" applyBorder="1" applyAlignment="1">
      <alignment horizontal="left" wrapText="1" readingOrder="1"/>
    </xf>
    <xf numFmtId="3" fontId="49" fillId="0" borderId="38" xfId="0" applyNumberFormat="1" applyFont="1" applyBorder="1" applyAlignment="1">
      <alignment horizontal="right" wrapText="1" indent="1" readingOrder="1"/>
    </xf>
    <xf numFmtId="9" fontId="48" fillId="0" borderId="39" xfId="0" applyNumberFormat="1" applyFont="1" applyBorder="1" applyAlignment="1">
      <alignment horizontal="right" wrapText="1" indent="1" readingOrder="1"/>
    </xf>
    <xf numFmtId="0" fontId="36" fillId="16" borderId="40" xfId="0" applyFont="1" applyFill="1" applyBorder="1" applyAlignment="1">
      <alignment wrapText="1"/>
    </xf>
    <xf numFmtId="0" fontId="47" fillId="16" borderId="41" xfId="0" applyFont="1" applyFill="1" applyBorder="1" applyAlignment="1">
      <alignment horizontal="right" wrapText="1" indent="1" readingOrder="1"/>
    </xf>
    <xf numFmtId="43" fontId="0" fillId="0" borderId="0" xfId="11" applyFont="1"/>
    <xf numFmtId="0" fontId="34" fillId="0" borderId="0" xfId="1" applyFill="1" applyBorder="1" applyAlignment="1"/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175" fontId="41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172" fontId="41" fillId="0" borderId="0" xfId="0" applyNumberFormat="1" applyFont="1" applyAlignment="1">
      <alignment wrapText="1"/>
    </xf>
    <xf numFmtId="168" fontId="43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right" wrapText="1"/>
    </xf>
    <xf numFmtId="169" fontId="40" fillId="0" borderId="0" xfId="0" applyNumberFormat="1" applyFont="1" applyAlignment="1">
      <alignment wrapText="1"/>
    </xf>
    <xf numFmtId="170" fontId="41" fillId="0" borderId="0" xfId="0" applyNumberFormat="1" applyFont="1" applyAlignment="1">
      <alignment horizontal="right" wrapText="1"/>
    </xf>
    <xf numFmtId="0" fontId="43" fillId="0" borderId="0" xfId="0" applyFont="1" applyAlignment="1">
      <alignment horizontal="right" wrapText="1"/>
    </xf>
    <xf numFmtId="169" fontId="40" fillId="0" borderId="0" xfId="0" applyNumberFormat="1" applyFont="1" applyAlignment="1">
      <alignment horizontal="right" wrapText="1"/>
    </xf>
    <xf numFmtId="170" fontId="41" fillId="0" borderId="0" xfId="0" applyNumberFormat="1" applyFont="1" applyAlignment="1">
      <alignment wrapText="1"/>
    </xf>
    <xf numFmtId="170" fontId="40" fillId="0" borderId="0" xfId="0" applyNumberFormat="1" applyFont="1" applyAlignment="1">
      <alignment wrapText="1"/>
    </xf>
    <xf numFmtId="174" fontId="43" fillId="0" borderId="0" xfId="0" applyNumberFormat="1" applyFont="1" applyAlignment="1">
      <alignment horizontal="right" wrapText="1"/>
    </xf>
    <xf numFmtId="173" fontId="43" fillId="0" borderId="0" xfId="0" applyNumberFormat="1" applyFont="1" applyAlignment="1">
      <alignment horizontal="right" wrapText="1"/>
    </xf>
    <xf numFmtId="170" fontId="40" fillId="0" borderId="0" xfId="0" applyNumberFormat="1" applyFont="1" applyAlignment="1">
      <alignment horizontal="right" wrapText="1"/>
    </xf>
    <xf numFmtId="171" fontId="41" fillId="0" borderId="0" xfId="0" applyNumberFormat="1" applyFont="1" applyAlignment="1">
      <alignment wrapText="1"/>
    </xf>
    <xf numFmtId="166" fontId="41" fillId="0" borderId="0" xfId="0" applyNumberFormat="1" applyFont="1" applyAlignment="1">
      <alignment wrapText="1"/>
    </xf>
    <xf numFmtId="166" fontId="40" fillId="0" borderId="0" xfId="0" applyNumberFormat="1" applyFont="1" applyAlignment="1">
      <alignment wrapText="1"/>
    </xf>
    <xf numFmtId="0" fontId="41" fillId="0" borderId="43" xfId="0" applyFont="1" applyBorder="1" applyAlignment="1">
      <alignment horizontal="center" wrapText="1"/>
    </xf>
    <xf numFmtId="170" fontId="41" fillId="0" borderId="44" xfId="0" applyNumberFormat="1" applyFont="1" applyBorder="1" applyAlignment="1">
      <alignment wrapText="1"/>
    </xf>
    <xf numFmtId="168" fontId="43" fillId="0" borderId="44" xfId="0" applyNumberFormat="1" applyFont="1" applyBorder="1" applyAlignment="1">
      <alignment horizontal="right" wrapText="1"/>
    </xf>
    <xf numFmtId="0" fontId="40" fillId="0" borderId="44" xfId="0" applyFont="1" applyBorder="1" applyAlignment="1">
      <alignment horizontal="right" wrapText="1"/>
    </xf>
    <xf numFmtId="169" fontId="40" fillId="0" borderId="44" xfId="0" applyNumberFormat="1" applyFont="1" applyBorder="1" applyAlignment="1">
      <alignment wrapText="1"/>
    </xf>
    <xf numFmtId="170" fontId="40" fillId="0" borderId="44" xfId="0" applyNumberFormat="1" applyFont="1" applyBorder="1" applyAlignment="1">
      <alignment wrapText="1"/>
    </xf>
    <xf numFmtId="173" fontId="44" fillId="0" borderId="44" xfId="0" applyNumberFormat="1" applyFont="1" applyBorder="1" applyAlignment="1">
      <alignment horizontal="right" wrapText="1"/>
    </xf>
    <xf numFmtId="170" fontId="43" fillId="0" borderId="44" xfId="0" applyNumberFormat="1" applyFont="1" applyBorder="1" applyAlignment="1">
      <alignment horizontal="right" wrapText="1"/>
    </xf>
    <xf numFmtId="0" fontId="43" fillId="0" borderId="44" xfId="0" applyFont="1" applyBorder="1" applyAlignment="1">
      <alignment horizontal="left" wrapText="1"/>
    </xf>
    <xf numFmtId="173" fontId="43" fillId="0" borderId="44" xfId="0" applyNumberFormat="1" applyFont="1" applyBorder="1" applyAlignment="1">
      <alignment horizontal="right" wrapText="1"/>
    </xf>
    <xf numFmtId="174" fontId="43" fillId="0" borderId="44" xfId="0" applyNumberFormat="1" applyFont="1" applyBorder="1" applyAlignment="1">
      <alignment horizontal="right" wrapText="1"/>
    </xf>
    <xf numFmtId="172" fontId="41" fillId="0" borderId="44" xfId="0" applyNumberFormat="1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46" xfId="0" applyFont="1" applyBorder="1" applyAlignment="1">
      <alignment horizontal="center" wrapText="1"/>
    </xf>
    <xf numFmtId="167" fontId="40" fillId="0" borderId="46" xfId="0" applyNumberFormat="1" applyFont="1" applyBorder="1" applyAlignment="1">
      <alignment horizontal="center" wrapText="1"/>
    </xf>
    <xf numFmtId="170" fontId="40" fillId="0" borderId="46" xfId="0" applyNumberFormat="1" applyFont="1" applyBorder="1" applyAlignment="1">
      <alignment wrapText="1"/>
    </xf>
    <xf numFmtId="170" fontId="40" fillId="0" borderId="45" xfId="0" applyNumberFormat="1" applyFont="1" applyBorder="1" applyAlignment="1">
      <alignment wrapText="1"/>
    </xf>
    <xf numFmtId="167" fontId="43" fillId="0" borderId="46" xfId="0" applyNumberFormat="1" applyFont="1" applyBorder="1" applyAlignment="1">
      <alignment horizontal="center" wrapText="1"/>
    </xf>
    <xf numFmtId="167" fontId="43" fillId="0" borderId="45" xfId="0" applyNumberFormat="1" applyFont="1" applyBorder="1" applyAlignment="1">
      <alignment horizontal="center" wrapText="1"/>
    </xf>
    <xf numFmtId="43" fontId="40" fillId="0" borderId="46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52" fillId="0" borderId="0" xfId="0" applyFont="1"/>
    <xf numFmtId="165" fontId="58" fillId="5" borderId="24" xfId="17" applyNumberFormat="1" applyFont="1">
      <alignment vertical="center" wrapText="1"/>
    </xf>
    <xf numFmtId="0" fontId="1" fillId="5" borderId="4" xfId="6" applyFont="1">
      <alignment horizontal="left" vertical="center" wrapText="1"/>
      <protection hidden="1"/>
    </xf>
    <xf numFmtId="0" fontId="0" fillId="5" borderId="24" xfId="17" applyNumberFormat="1" applyFont="1">
      <alignment vertical="center" wrapText="1"/>
    </xf>
    <xf numFmtId="0" fontId="0" fillId="5" borderId="23" xfId="6" applyFont="1" applyBorder="1">
      <alignment horizontal="left" vertical="center" wrapText="1"/>
      <protection hidden="1"/>
    </xf>
    <xf numFmtId="178" fontId="58" fillId="4" borderId="16" xfId="11" applyNumberFormat="1" applyFont="1" applyFill="1" applyBorder="1" applyAlignment="1">
      <alignment vertical="center" wrapText="1"/>
    </xf>
    <xf numFmtId="0" fontId="57" fillId="0" borderId="0" xfId="16" applyAlignment="1">
      <alignment vertical="center"/>
    </xf>
    <xf numFmtId="0" fontId="0" fillId="0" borderId="0" xfId="0" applyAlignment="1" applyProtection="1">
      <alignment horizontal="left" vertical="center" wrapText="1"/>
      <protection hidden="1"/>
    </xf>
    <xf numFmtId="179" fontId="0" fillId="5" borderId="24" xfId="17" applyNumberFormat="1" applyFont="1">
      <alignment vertical="center" wrapText="1"/>
    </xf>
    <xf numFmtId="2" fontId="0" fillId="5" borderId="24" xfId="17" applyNumberFormat="1" applyFont="1">
      <alignment vertical="center" wrapText="1"/>
    </xf>
    <xf numFmtId="179" fontId="0" fillId="0" borderId="0" xfId="0" applyNumberFormat="1"/>
    <xf numFmtId="165" fontId="14" fillId="14" borderId="4" xfId="9" applyNumberFormat="1">
      <alignment vertical="center" wrapText="1"/>
    </xf>
    <xf numFmtId="165" fontId="59" fillId="9" borderId="16" xfId="7" applyNumberFormat="1" applyFont="1">
      <alignment vertical="center" wrapText="1"/>
      <protection locked="0" hidden="1"/>
    </xf>
    <xf numFmtId="0" fontId="56" fillId="0" borderId="0" xfId="15" applyBorder="1" applyAlignment="1">
      <alignment vertical="center" wrapText="1"/>
    </xf>
    <xf numFmtId="179" fontId="14" fillId="14" borderId="4" xfId="9" applyNumberFormat="1">
      <alignment vertical="center" wrapText="1"/>
    </xf>
    <xf numFmtId="4" fontId="14" fillId="14" borderId="4" xfId="9" applyNumberFormat="1">
      <alignment vertical="center" wrapText="1"/>
    </xf>
    <xf numFmtId="9" fontId="0" fillId="9" borderId="16" xfId="7" applyNumberFormat="1" applyFont="1">
      <alignment vertical="center" wrapText="1"/>
      <protection locked="0" hidden="1"/>
    </xf>
    <xf numFmtId="9" fontId="60" fillId="14" borderId="4" xfId="9" applyNumberFormat="1" applyFont="1">
      <alignment vertical="center" wrapText="1"/>
    </xf>
    <xf numFmtId="0" fontId="54" fillId="0" borderId="0" xfId="14" applyBorder="1"/>
    <xf numFmtId="0" fontId="0" fillId="5" borderId="24" xfId="10" applyNumberFormat="1" applyFont="1" applyAlignment="1" applyProtection="1">
      <alignment horizontal="left" vertical="center" wrapText="1"/>
      <protection hidden="1"/>
    </xf>
    <xf numFmtId="179" fontId="35" fillId="14" borderId="4" xfId="9" applyNumberFormat="1" applyFont="1">
      <alignment vertical="center" wrapText="1"/>
    </xf>
    <xf numFmtId="0" fontId="54" fillId="0" borderId="0" xfId="14" applyFill="1" applyBorder="1"/>
    <xf numFmtId="0" fontId="63" fillId="0" borderId="0" xfId="18" applyFont="1">
      <alignment horizontal="left" wrapText="1"/>
    </xf>
    <xf numFmtId="0" fontId="64" fillId="0" borderId="0" xfId="18" applyFont="1">
      <alignment horizontal="left" wrapText="1"/>
    </xf>
    <xf numFmtId="0" fontId="65" fillId="0" borderId="0" xfId="0" applyFont="1"/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66" fillId="0" borderId="0" xfId="19" applyFont="1" applyAlignment="1">
      <alignment vertical="center"/>
    </xf>
    <xf numFmtId="0" fontId="66" fillId="0" borderId="0" xfId="0" applyFont="1"/>
    <xf numFmtId="0" fontId="63" fillId="19" borderId="51" xfId="0" applyFont="1" applyFill="1" applyBorder="1"/>
    <xf numFmtId="0" fontId="5" fillId="19" borderId="5" xfId="0" applyFont="1" applyFill="1" applyBorder="1"/>
    <xf numFmtId="0" fontId="5" fillId="19" borderId="48" xfId="0" applyFont="1" applyFill="1" applyBorder="1"/>
    <xf numFmtId="0" fontId="63" fillId="19" borderId="52" xfId="0" applyFont="1" applyFill="1" applyBorder="1"/>
    <xf numFmtId="0" fontId="5" fillId="19" borderId="53" xfId="0" applyFont="1" applyFill="1" applyBorder="1"/>
    <xf numFmtId="10" fontId="16" fillId="20" borderId="54" xfId="0" applyNumberFormat="1" applyFont="1" applyFill="1" applyBorder="1"/>
    <xf numFmtId="164" fontId="16" fillId="20" borderId="55" xfId="19" applyNumberFormat="1" applyFont="1" applyFill="1" applyBorder="1" applyAlignment="1">
      <alignment vertical="center"/>
    </xf>
    <xf numFmtId="44" fontId="0" fillId="0" borderId="0" xfId="12" applyFont="1" applyFill="1" applyBorder="1" applyAlignment="1">
      <alignment horizontal="right"/>
    </xf>
    <xf numFmtId="44" fontId="0" fillId="0" borderId="0" xfId="0" applyNumberFormat="1" applyAlignment="1">
      <alignment horizontal="right"/>
    </xf>
    <xf numFmtId="10" fontId="1" fillId="15" borderId="0" xfId="0" applyNumberFormat="1" applyFont="1" applyFill="1" applyAlignment="1">
      <alignment horizontal="right"/>
    </xf>
    <xf numFmtId="9" fontId="1" fillId="17" borderId="0" xfId="13" applyFill="1" applyBorder="1" applyAlignment="1">
      <alignment horizontal="right"/>
    </xf>
    <xf numFmtId="9" fontId="1" fillId="17" borderId="0" xfId="13" applyFill="1" applyAlignment="1">
      <alignment horizontal="right"/>
    </xf>
    <xf numFmtId="0" fontId="0" fillId="21" borderId="0" xfId="0" applyFill="1"/>
    <xf numFmtId="0" fontId="0" fillId="9" borderId="16" xfId="7" applyFont="1">
      <alignment vertical="center" wrapText="1"/>
      <protection locked="0" hidden="1"/>
    </xf>
    <xf numFmtId="173" fontId="0" fillId="9" borderId="16" xfId="13" applyNumberFormat="1" applyFont="1" applyFill="1" applyBorder="1" applyAlignment="1" applyProtection="1">
      <alignment vertical="center" wrapText="1"/>
      <protection locked="0" hidden="1"/>
    </xf>
    <xf numFmtId="0" fontId="8" fillId="15" borderId="16" xfId="0" applyFont="1" applyFill="1" applyBorder="1" applyAlignment="1">
      <alignment vertical="center"/>
    </xf>
    <xf numFmtId="0" fontId="0" fillId="15" borderId="16" xfId="0" applyFill="1" applyBorder="1"/>
    <xf numFmtId="9" fontId="0" fillId="15" borderId="16" xfId="0" applyNumberFormat="1" applyFill="1" applyBorder="1" applyAlignment="1">
      <alignment vertical="center"/>
    </xf>
    <xf numFmtId="9" fontId="8" fillId="15" borderId="16" xfId="0" applyNumberFormat="1" applyFont="1" applyFill="1" applyBorder="1" applyAlignment="1">
      <alignment vertical="center"/>
    </xf>
    <xf numFmtId="0" fontId="34" fillId="0" borderId="0" xfId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16" fillId="11" borderId="25" xfId="8" applyBorder="1">
      <alignment horizontal="center" wrapText="1"/>
    </xf>
    <xf numFmtId="0" fontId="0" fillId="0" borderId="5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7" fillId="0" borderId="57" xfId="9" applyFont="1" applyFill="1" applyBorder="1">
      <alignment vertical="center" wrapText="1"/>
    </xf>
    <xf numFmtId="0" fontId="5" fillId="0" borderId="0" xfId="20"/>
    <xf numFmtId="0" fontId="68" fillId="0" borderId="0" xfId="20" applyFont="1"/>
    <xf numFmtId="0" fontId="69" fillId="0" borderId="0" xfId="20" applyFont="1" applyAlignment="1">
      <alignment horizontal="left" vertical="center" indent="1"/>
    </xf>
    <xf numFmtId="0" fontId="70" fillId="0" borderId="0" xfId="20" applyFont="1"/>
    <xf numFmtId="0" fontId="72" fillId="22" borderId="58" xfId="20" applyFont="1" applyFill="1" applyBorder="1" applyAlignment="1">
      <alignment horizontal="left" vertical="center" wrapText="1" indent="1"/>
    </xf>
    <xf numFmtId="0" fontId="72" fillId="22" borderId="58" xfId="20" applyFont="1" applyFill="1" applyBorder="1" applyAlignment="1">
      <alignment horizontal="center" vertical="center" wrapText="1"/>
    </xf>
    <xf numFmtId="0" fontId="73" fillId="18" borderId="59" xfId="20" applyFont="1" applyFill="1" applyBorder="1" applyAlignment="1">
      <alignment horizontal="left" vertical="center" wrapText="1" indent="1"/>
    </xf>
    <xf numFmtId="164" fontId="73" fillId="18" borderId="59" xfId="20" applyNumberFormat="1" applyFont="1" applyFill="1" applyBorder="1" applyAlignment="1">
      <alignment horizontal="right" vertical="center" wrapText="1" indent="1"/>
    </xf>
    <xf numFmtId="10" fontId="73" fillId="18" borderId="59" xfId="20" applyNumberFormat="1" applyFont="1" applyFill="1" applyBorder="1" applyAlignment="1">
      <alignment horizontal="right" vertical="center" wrapText="1" indent="1"/>
    </xf>
    <xf numFmtId="1" fontId="73" fillId="18" borderId="59" xfId="20" applyNumberFormat="1" applyFont="1" applyFill="1" applyBorder="1" applyAlignment="1">
      <alignment horizontal="center" vertical="center" wrapText="1"/>
    </xf>
    <xf numFmtId="0" fontId="73" fillId="0" borderId="59" xfId="20" applyFont="1" applyBorder="1" applyAlignment="1">
      <alignment horizontal="left" vertical="center" wrapText="1" indent="1"/>
    </xf>
    <xf numFmtId="164" fontId="73" fillId="0" borderId="59" xfId="20" applyNumberFormat="1" applyFont="1" applyBorder="1" applyAlignment="1">
      <alignment horizontal="right" vertical="center" wrapText="1" indent="1"/>
    </xf>
    <xf numFmtId="10" fontId="73" fillId="0" borderId="59" xfId="20" applyNumberFormat="1" applyFont="1" applyBorder="1" applyAlignment="1">
      <alignment horizontal="right" vertical="center" wrapText="1" indent="1"/>
    </xf>
    <xf numFmtId="1" fontId="73" fillId="0" borderId="59" xfId="20" applyNumberFormat="1" applyFont="1" applyBorder="1" applyAlignment="1">
      <alignment horizontal="center" vertical="center" wrapText="1"/>
    </xf>
    <xf numFmtId="0" fontId="72" fillId="23" borderId="58" xfId="20" applyFont="1" applyFill="1" applyBorder="1" applyAlignment="1">
      <alignment horizontal="center" vertical="center"/>
    </xf>
    <xf numFmtId="0" fontId="72" fillId="23" borderId="58" xfId="20" applyFont="1" applyFill="1" applyBorder="1" applyAlignment="1">
      <alignment horizontal="center" vertical="center" wrapText="1"/>
    </xf>
    <xf numFmtId="0" fontId="74" fillId="24" borderId="59" xfId="20" applyFont="1" applyFill="1" applyBorder="1" applyAlignment="1">
      <alignment horizontal="right" vertical="center" wrapText="1" indent="1"/>
    </xf>
    <xf numFmtId="9" fontId="73" fillId="0" borderId="59" xfId="21" applyFont="1" applyBorder="1" applyAlignment="1">
      <alignment horizontal="right" vertical="center" wrapText="1" indent="1"/>
    </xf>
    <xf numFmtId="0" fontId="74" fillId="0" borderId="0" xfId="20" applyFont="1" applyAlignment="1">
      <alignment horizontal="right" vertical="center" wrapText="1" indent="1"/>
    </xf>
    <xf numFmtId="9" fontId="73" fillId="0" borderId="0" xfId="21" applyFont="1" applyFill="1" applyBorder="1" applyAlignment="1">
      <alignment horizontal="right" vertical="center" wrapText="1" indent="1"/>
    </xf>
    <xf numFmtId="0" fontId="68" fillId="18" borderId="0" xfId="20" applyFont="1" applyFill="1"/>
    <xf numFmtId="0" fontId="5" fillId="0" borderId="0" xfId="20" applyAlignment="1">
      <alignment horizontal="left" indent="1"/>
    </xf>
    <xf numFmtId="0" fontId="0" fillId="0" borderId="0" xfId="0" applyAlignment="1">
      <alignment horizontal="right"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165" fontId="3" fillId="18" borderId="62" xfId="0" applyNumberFormat="1" applyFont="1" applyFill="1" applyBorder="1" applyAlignment="1">
      <alignment horizontal="right" vertical="center"/>
    </xf>
    <xf numFmtId="165" fontId="0" fillId="0" borderId="60" xfId="0" applyNumberFormat="1" applyBorder="1" applyAlignment="1">
      <alignment horizontal="right" vertical="center"/>
    </xf>
    <xf numFmtId="165" fontId="3" fillId="0" borderId="62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right" vertical="center"/>
    </xf>
    <xf numFmtId="0" fontId="3" fillId="0" borderId="60" xfId="0" applyFont="1" applyBorder="1" applyAlignment="1">
      <alignment vertical="center" wrapText="1"/>
    </xf>
    <xf numFmtId="165" fontId="3" fillId="0" borderId="6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right" vertical="center"/>
    </xf>
    <xf numFmtId="165" fontId="0" fillId="15" borderId="60" xfId="0" applyNumberFormat="1" applyFill="1" applyBorder="1" applyAlignment="1">
      <alignment horizontal="right" vertical="center"/>
    </xf>
    <xf numFmtId="165" fontId="0" fillId="15" borderId="61" xfId="0" applyNumberFormat="1" applyFill="1" applyBorder="1" applyAlignment="1">
      <alignment horizontal="right" vertical="center"/>
    </xf>
    <xf numFmtId="165" fontId="3" fillId="15" borderId="62" xfId="0" applyNumberFormat="1" applyFont="1" applyFill="1" applyBorder="1" applyAlignment="1">
      <alignment horizontal="right" vertical="center"/>
    </xf>
    <xf numFmtId="165" fontId="3" fillId="15" borderId="60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 wrapText="1"/>
    </xf>
    <xf numFmtId="0" fontId="8" fillId="15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9" borderId="49" xfId="7" applyFont="1" applyBorder="1">
      <alignment vertical="center" wrapText="1"/>
      <protection locked="0" hidden="1"/>
    </xf>
    <xf numFmtId="0" fontId="0" fillId="0" borderId="0" xfId="7" applyFont="1" applyFill="1" applyBorder="1">
      <alignment vertical="center" wrapText="1"/>
      <protection locked="0" hidden="1"/>
    </xf>
    <xf numFmtId="0" fontId="0" fillId="5" borderId="4" xfId="6" applyFont="1" applyAlignment="1">
      <alignment horizontal="left" vertical="center"/>
      <protection hidden="1"/>
    </xf>
    <xf numFmtId="0" fontId="0" fillId="0" borderId="34" xfId="0" applyBorder="1"/>
    <xf numFmtId="165" fontId="0" fillId="0" borderId="27" xfId="0" applyNumberFormat="1" applyBorder="1"/>
    <xf numFmtId="0" fontId="3" fillId="0" borderId="34" xfId="0" applyFont="1" applyBorder="1"/>
    <xf numFmtId="165" fontId="3" fillId="0" borderId="34" xfId="0" applyNumberFormat="1" applyFont="1" applyBorder="1"/>
    <xf numFmtId="0" fontId="3" fillId="18" borderId="27" xfId="0" applyFont="1" applyFill="1" applyBorder="1"/>
    <xf numFmtId="0" fontId="3" fillId="18" borderId="34" xfId="0" applyFont="1" applyFill="1" applyBorder="1"/>
    <xf numFmtId="0" fontId="30" fillId="5" borderId="16" xfId="22">
      <alignment horizontal="center" wrapText="1"/>
      <protection hidden="1"/>
    </xf>
    <xf numFmtId="0" fontId="30" fillId="5" borderId="16" xfId="22" applyNumberFormat="1">
      <alignment horizontal="center" wrapText="1"/>
      <protection hidden="1"/>
    </xf>
    <xf numFmtId="0" fontId="30" fillId="5" borderId="4" xfId="6" applyFont="1">
      <alignment horizontal="left" vertical="center" wrapText="1"/>
      <protection hidden="1"/>
    </xf>
    <xf numFmtId="0" fontId="77" fillId="0" borderId="67" xfId="0" applyFont="1" applyBorder="1" applyAlignment="1">
      <alignment wrapText="1"/>
    </xf>
    <xf numFmtId="0" fontId="77" fillId="0" borderId="71" xfId="0" applyFont="1" applyBorder="1" applyAlignment="1">
      <alignment wrapText="1"/>
    </xf>
    <xf numFmtId="0" fontId="77" fillId="0" borderId="68" xfId="0" applyFont="1" applyBorder="1" applyAlignment="1">
      <alignment wrapText="1"/>
    </xf>
    <xf numFmtId="0" fontId="77" fillId="0" borderId="74" xfId="0" applyFont="1" applyBorder="1" applyAlignment="1">
      <alignment wrapText="1"/>
    </xf>
    <xf numFmtId="3" fontId="80" fillId="0" borderId="68" xfId="0" applyNumberFormat="1" applyFont="1" applyBorder="1" applyAlignment="1">
      <alignment horizontal="right" vertical="center" wrapText="1" readingOrder="1"/>
    </xf>
    <xf numFmtId="0" fontId="80" fillId="0" borderId="68" xfId="0" applyFont="1" applyBorder="1" applyAlignment="1">
      <alignment horizontal="left" vertical="center" wrapText="1" readingOrder="1"/>
    </xf>
    <xf numFmtId="3" fontId="78" fillId="0" borderId="68" xfId="0" applyNumberFormat="1" applyFont="1" applyBorder="1" applyAlignment="1">
      <alignment horizontal="right" vertical="center" wrapText="1" readingOrder="1"/>
    </xf>
    <xf numFmtId="0" fontId="80" fillId="0" borderId="68" xfId="0" applyFont="1" applyBorder="1" applyAlignment="1">
      <alignment horizontal="right" vertical="center" wrapText="1" readingOrder="1"/>
    </xf>
    <xf numFmtId="0" fontId="78" fillId="0" borderId="68" xfId="0" applyFont="1" applyBorder="1" applyAlignment="1">
      <alignment horizontal="left" vertical="center" wrapText="1" indent="2" readingOrder="1"/>
    </xf>
    <xf numFmtId="0" fontId="78" fillId="0" borderId="68" xfId="0" applyFont="1" applyBorder="1" applyAlignment="1">
      <alignment horizontal="left" wrapText="1" indent="2" readingOrder="1"/>
    </xf>
    <xf numFmtId="0" fontId="78" fillId="0" borderId="76" xfId="0" applyFont="1" applyBorder="1" applyAlignment="1">
      <alignment horizontal="left" vertical="center" wrapText="1" indent="2" readingOrder="1"/>
    </xf>
    <xf numFmtId="0" fontId="80" fillId="0" borderId="76" xfId="0" applyFont="1" applyBorder="1" applyAlignment="1">
      <alignment horizontal="left" vertical="center" wrapText="1" readingOrder="1"/>
    </xf>
    <xf numFmtId="3" fontId="80" fillId="0" borderId="76" xfId="0" applyNumberFormat="1" applyFont="1" applyBorder="1" applyAlignment="1">
      <alignment horizontal="right" vertical="center" wrapText="1" readingOrder="1"/>
    </xf>
    <xf numFmtId="3" fontId="78" fillId="0" borderId="76" xfId="0" applyNumberFormat="1" applyFont="1" applyBorder="1" applyAlignment="1">
      <alignment horizontal="right" vertical="center" wrapText="1" readingOrder="1"/>
    </xf>
    <xf numFmtId="0" fontId="78" fillId="0" borderId="75" xfId="0" applyFont="1" applyBorder="1" applyAlignment="1">
      <alignment horizontal="left" vertical="center" wrapText="1" indent="2" readingOrder="1"/>
    </xf>
    <xf numFmtId="3" fontId="78" fillId="0" borderId="75" xfId="0" applyNumberFormat="1" applyFont="1" applyBorder="1" applyAlignment="1">
      <alignment horizontal="right" vertical="center" wrapText="1" readingOrder="1"/>
    </xf>
    <xf numFmtId="0" fontId="78" fillId="18" borderId="64" xfId="0" applyFont="1" applyFill="1" applyBorder="1" applyAlignment="1">
      <alignment horizontal="center" wrapText="1" readingOrder="1"/>
    </xf>
    <xf numFmtId="0" fontId="81" fillId="0" borderId="75" xfId="0" applyFont="1" applyBorder="1" applyAlignment="1">
      <alignment horizontal="left" vertical="center" wrapText="1" indent="1" readingOrder="1"/>
    </xf>
    <xf numFmtId="3" fontId="81" fillId="0" borderId="75" xfId="0" applyNumberFormat="1" applyFont="1" applyBorder="1" applyAlignment="1">
      <alignment horizontal="right" vertical="center" wrapText="1" indent="1" readingOrder="1"/>
    </xf>
    <xf numFmtId="0" fontId="83" fillId="25" borderId="78" xfId="0" applyFont="1" applyFill="1" applyBorder="1" applyAlignment="1">
      <alignment horizontal="left" vertical="top" wrapText="1" indent="1"/>
    </xf>
    <xf numFmtId="0" fontId="83" fillId="25" borderId="78" xfId="0" applyFont="1" applyFill="1" applyBorder="1" applyAlignment="1">
      <alignment vertical="top" wrapText="1" indent="1"/>
    </xf>
    <xf numFmtId="0" fontId="83" fillId="25" borderId="79" xfId="0" applyFont="1" applyFill="1" applyBorder="1" applyAlignment="1">
      <alignment horizontal="left" vertical="top" wrapText="1" indent="1"/>
    </xf>
    <xf numFmtId="0" fontId="83" fillId="25" borderId="79" xfId="0" applyFont="1" applyFill="1" applyBorder="1" applyAlignment="1">
      <alignment vertical="top" wrapText="1" indent="1"/>
    </xf>
    <xf numFmtId="0" fontId="82" fillId="25" borderId="77" xfId="0" applyFont="1" applyFill="1" applyBorder="1" applyAlignment="1">
      <alignment horizontal="center" vertical="center" wrapText="1"/>
    </xf>
    <xf numFmtId="0" fontId="51" fillId="0" borderId="0" xfId="0" applyFont="1"/>
    <xf numFmtId="0" fontId="90" fillId="29" borderId="84" xfId="20" applyFont="1" applyFill="1" applyBorder="1" applyAlignment="1" applyProtection="1">
      <alignment wrapText="1"/>
      <protection locked="0"/>
    </xf>
    <xf numFmtId="0" fontId="86" fillId="0" borderId="89" xfId="20" applyFont="1" applyBorder="1" applyAlignment="1">
      <alignment horizontal="left" vertical="top" wrapText="1" indent="2"/>
    </xf>
    <xf numFmtId="0" fontId="86" fillId="0" borderId="91" xfId="20" applyFont="1" applyBorder="1" applyAlignment="1">
      <alignment horizontal="left" vertical="top" wrapText="1" indent="2"/>
    </xf>
    <xf numFmtId="3" fontId="86" fillId="0" borderId="91" xfId="20" applyNumberFormat="1" applyFont="1" applyBorder="1" applyAlignment="1" applyProtection="1">
      <alignment horizontal="left" vertical="top" wrapText="1" indent="2"/>
      <protection locked="0"/>
    </xf>
    <xf numFmtId="0" fontId="86" fillId="0" borderId="101" xfId="20" applyFont="1" applyBorder="1" applyAlignment="1">
      <alignment horizontal="left" indent="1" shrinkToFit="1"/>
    </xf>
    <xf numFmtId="0" fontId="0" fillId="0" borderId="109" xfId="0" applyBorder="1"/>
    <xf numFmtId="165" fontId="0" fillId="0" borderId="109" xfId="0" applyNumberFormat="1" applyBorder="1"/>
    <xf numFmtId="0" fontId="3" fillId="0" borderId="19" xfId="0" applyFont="1" applyBorder="1"/>
    <xf numFmtId="165" fontId="3" fillId="0" borderId="19" xfId="0" applyNumberFormat="1" applyFont="1" applyBorder="1"/>
    <xf numFmtId="0" fontId="90" fillId="29" borderId="110" xfId="20" applyFont="1" applyFill="1" applyBorder="1" applyAlignment="1" applyProtection="1">
      <alignment horizontal="center" wrapText="1"/>
      <protection locked="0"/>
    </xf>
    <xf numFmtId="181" fontId="0" fillId="0" borderId="0" xfId="0" applyNumberFormat="1"/>
    <xf numFmtId="0" fontId="91" fillId="0" borderId="0" xfId="0" applyFont="1" applyAlignment="1">
      <alignment horizontal="right"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30" borderId="81" xfId="0" applyFont="1" applyFill="1" applyBorder="1" applyAlignment="1">
      <alignment vertical="center"/>
    </xf>
    <xf numFmtId="8" fontId="92" fillId="0" borderId="81" xfId="0" applyNumberFormat="1" applyFont="1" applyBorder="1" applyAlignment="1" applyProtection="1">
      <alignment horizontal="center" vertical="center"/>
      <protection locked="0"/>
    </xf>
    <xf numFmtId="8" fontId="92" fillId="15" borderId="81" xfId="0" applyNumberFormat="1" applyFont="1" applyFill="1" applyBorder="1" applyAlignment="1">
      <alignment horizontal="center" vertical="center"/>
    </xf>
    <xf numFmtId="0" fontId="92" fillId="30" borderId="111" xfId="0" applyFont="1" applyFill="1" applyBorder="1" applyAlignment="1">
      <alignment vertical="center"/>
    </xf>
    <xf numFmtId="8" fontId="92" fillId="0" borderId="111" xfId="0" applyNumberFormat="1" applyFont="1" applyBorder="1" applyAlignment="1" applyProtection="1">
      <alignment horizontal="center" vertical="center"/>
      <protection locked="0"/>
    </xf>
    <xf numFmtId="8" fontId="92" fillId="15" borderId="111" xfId="0" applyNumberFormat="1" applyFont="1" applyFill="1" applyBorder="1" applyAlignment="1">
      <alignment horizontal="center" vertical="center"/>
    </xf>
    <xf numFmtId="9" fontId="92" fillId="30" borderId="81" xfId="0" applyNumberFormat="1" applyFont="1" applyFill="1" applyBorder="1" applyAlignment="1">
      <alignment horizontal="center" vertical="center"/>
    </xf>
    <xf numFmtId="9" fontId="92" fillId="15" borderId="81" xfId="0" applyNumberFormat="1" applyFont="1" applyFill="1" applyBorder="1" applyAlignment="1">
      <alignment horizontal="center" vertical="center"/>
    </xf>
    <xf numFmtId="9" fontId="92" fillId="30" borderId="111" xfId="0" applyNumberFormat="1" applyFont="1" applyFill="1" applyBorder="1" applyAlignment="1">
      <alignment horizontal="center" vertical="center"/>
    </xf>
    <xf numFmtId="9" fontId="92" fillId="15" borderId="111" xfId="0" applyNumberFormat="1" applyFont="1" applyFill="1" applyBorder="1" applyAlignment="1">
      <alignment horizontal="center" vertical="center"/>
    </xf>
    <xf numFmtId="6" fontId="92" fillId="30" borderId="81" xfId="0" applyNumberFormat="1" applyFont="1" applyFill="1" applyBorder="1" applyAlignment="1">
      <alignment horizontal="center" vertical="center"/>
    </xf>
    <xf numFmtId="6" fontId="96" fillId="15" borderId="81" xfId="0" applyNumberFormat="1" applyFont="1" applyFill="1" applyBorder="1" applyAlignment="1">
      <alignment horizontal="center" vertical="center"/>
    </xf>
    <xf numFmtId="0" fontId="92" fillId="30" borderId="112" xfId="0" applyFont="1" applyFill="1" applyBorder="1" applyAlignment="1">
      <alignment vertical="center"/>
    </xf>
    <xf numFmtId="6" fontId="92" fillId="30" borderId="112" xfId="0" applyNumberFormat="1" applyFont="1" applyFill="1" applyBorder="1" applyAlignment="1">
      <alignment horizontal="center" vertical="center"/>
    </xf>
    <xf numFmtId="6" fontId="96" fillId="15" borderId="112" xfId="0" applyNumberFormat="1" applyFont="1" applyFill="1" applyBorder="1" applyAlignment="1">
      <alignment horizontal="center" vertical="center"/>
    </xf>
    <xf numFmtId="0" fontId="96" fillId="15" borderId="113" xfId="0" applyFont="1" applyFill="1" applyBorder="1" applyAlignment="1">
      <alignment vertical="center"/>
    </xf>
    <xf numFmtId="6" fontId="96" fillId="15" borderId="113" xfId="0" applyNumberFormat="1" applyFont="1" applyFill="1" applyBorder="1" applyAlignment="1">
      <alignment horizontal="center" vertical="center"/>
    </xf>
    <xf numFmtId="8" fontId="92" fillId="30" borderId="81" xfId="0" applyNumberFormat="1" applyFont="1" applyFill="1" applyBorder="1" applyAlignment="1">
      <alignment horizontal="center" vertical="center"/>
    </xf>
    <xf numFmtId="8" fontId="92" fillId="30" borderId="111" xfId="0" applyNumberFormat="1" applyFont="1" applyFill="1" applyBorder="1" applyAlignment="1">
      <alignment horizontal="center" vertical="center"/>
    </xf>
    <xf numFmtId="0" fontId="34" fillId="0" borderId="114" xfId="1" applyBorder="1" applyAlignment="1">
      <alignment vertical="center"/>
    </xf>
    <xf numFmtId="0" fontId="94" fillId="31" borderId="0" xfId="0" applyFont="1" applyFill="1" applyAlignment="1">
      <alignment vertical="center"/>
    </xf>
    <xf numFmtId="182" fontId="95" fillId="31" borderId="0" xfId="25" applyNumberFormat="1" applyFont="1" applyFill="1" applyAlignment="1">
      <alignment horizontal="center" vertical="center"/>
    </xf>
    <xf numFmtId="0" fontId="95" fillId="31" borderId="0" xfId="25" applyFont="1" applyFill="1" applyAlignment="1">
      <alignment horizontal="center" vertical="center"/>
    </xf>
    <xf numFmtId="0" fontId="95" fillId="31" borderId="0" xfId="0" applyFont="1" applyFill="1" applyAlignment="1">
      <alignment vertical="center"/>
    </xf>
    <xf numFmtId="1" fontId="92" fillId="0" borderId="81" xfId="0" applyNumberFormat="1" applyFont="1" applyBorder="1" applyAlignment="1" applyProtection="1">
      <alignment horizontal="left" vertical="center"/>
      <protection locked="0"/>
    </xf>
    <xf numFmtId="1" fontId="92" fillId="0" borderId="81" xfId="0" applyNumberFormat="1" applyFont="1" applyBorder="1" applyAlignment="1" applyProtection="1">
      <alignment horizontal="center" vertical="center"/>
      <protection locked="0"/>
    </xf>
    <xf numFmtId="1" fontId="92" fillId="0" borderId="81" xfId="0" applyNumberFormat="1" applyFont="1" applyBorder="1" applyAlignment="1">
      <alignment horizontal="center" vertical="center"/>
    </xf>
    <xf numFmtId="0" fontId="92" fillId="0" borderId="111" xfId="0" applyFont="1" applyBorder="1" applyAlignment="1" applyProtection="1">
      <alignment vertical="center"/>
      <protection locked="0"/>
    </xf>
    <xf numFmtId="1" fontId="92" fillId="0" borderId="111" xfId="0" applyNumberFormat="1" applyFont="1" applyBorder="1" applyAlignment="1" applyProtection="1">
      <alignment horizontal="center" vertical="center"/>
      <protection locked="0"/>
    </xf>
    <xf numFmtId="1" fontId="92" fillId="0" borderId="111" xfId="0" applyNumberFormat="1" applyFont="1" applyBorder="1" applyAlignment="1">
      <alignment horizontal="center" vertical="center"/>
    </xf>
    <xf numFmtId="164" fontId="0" fillId="0" borderId="34" xfId="0" applyNumberFormat="1" applyBorder="1"/>
    <xf numFmtId="164" fontId="3" fillId="0" borderId="34" xfId="0" applyNumberFormat="1" applyFont="1" applyBorder="1"/>
    <xf numFmtId="0" fontId="3" fillId="0" borderId="20" xfId="0" applyFont="1" applyBorder="1"/>
    <xf numFmtId="0" fontId="55" fillId="26" borderId="83" xfId="23"/>
    <xf numFmtId="0" fontId="3" fillId="0" borderId="0" xfId="0" applyFont="1" applyAlignment="1">
      <alignment vertical="center"/>
    </xf>
    <xf numFmtId="0" fontId="97" fillId="0" borderId="0" xfId="0" applyFont="1"/>
    <xf numFmtId="0" fontId="97" fillId="0" borderId="0" xfId="0" applyFont="1" applyAlignment="1">
      <alignment vertical="center"/>
    </xf>
    <xf numFmtId="0" fontId="97" fillId="0" borderId="0" xfId="15" applyFont="1" applyAlignment="1">
      <alignment vertical="center"/>
    </xf>
    <xf numFmtId="0" fontId="71" fillId="0" borderId="0" xfId="20" applyFont="1"/>
    <xf numFmtId="0" fontId="2" fillId="0" borderId="0" xfId="2" applyAlignment="1">
      <alignment horizontal="left"/>
    </xf>
    <xf numFmtId="0" fontId="97" fillId="0" borderId="0" xfId="0" applyFont="1" applyAlignment="1">
      <alignment vertical="top" wrapText="1"/>
    </xf>
    <xf numFmtId="0" fontId="98" fillId="0" borderId="0" xfId="0" applyFont="1"/>
    <xf numFmtId="14" fontId="0" fillId="0" borderId="0" xfId="0" applyNumberFormat="1" applyAlignment="1">
      <alignment horizontal="center"/>
    </xf>
    <xf numFmtId="0" fontId="97" fillId="0" borderId="0" xfId="0" applyFont="1" applyAlignment="1">
      <alignment vertical="top"/>
    </xf>
    <xf numFmtId="0" fontId="99" fillId="15" borderId="57" xfId="5" applyFont="1" applyFill="1" applyBorder="1" applyAlignment="1">
      <alignment horizontal="left" vertical="center" wrapText="1"/>
    </xf>
    <xf numFmtId="0" fontId="100" fillId="0" borderId="0" xfId="0" applyFont="1" applyAlignment="1">
      <alignment horizontal="left" wrapText="1" indent="2" readingOrder="1"/>
    </xf>
    <xf numFmtId="0" fontId="8" fillId="0" borderId="57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34" borderId="57" xfId="0" applyFont="1" applyFill="1" applyBorder="1" applyAlignment="1">
      <alignment vertical="center"/>
    </xf>
    <xf numFmtId="0" fontId="8" fillId="32" borderId="57" xfId="0" applyFont="1" applyFill="1" applyBorder="1" applyAlignment="1">
      <alignment vertical="center"/>
    </xf>
    <xf numFmtId="0" fontId="8" fillId="33" borderId="57" xfId="0" applyFont="1" applyFill="1" applyBorder="1" applyAlignment="1">
      <alignment vertical="center"/>
    </xf>
    <xf numFmtId="0" fontId="101" fillId="0" borderId="0" xfId="0" applyFont="1" applyAlignment="1">
      <alignment horizontal="left"/>
    </xf>
    <xf numFmtId="0" fontId="0" fillId="0" borderId="2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102" fillId="0" borderId="0" xfId="0" applyFont="1"/>
    <xf numFmtId="0" fontId="103" fillId="0" borderId="0" xfId="20" applyFont="1"/>
    <xf numFmtId="0" fontId="104" fillId="0" borderId="0" xfId="0" applyFont="1" applyAlignment="1">
      <alignment vertical="center"/>
    </xf>
    <xf numFmtId="0" fontId="0" fillId="0" borderId="116" xfId="0" applyBorder="1" applyAlignment="1">
      <alignment horizontal="left"/>
    </xf>
    <xf numFmtId="14" fontId="0" fillId="0" borderId="117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115" xfId="0" applyNumberFormat="1" applyBorder="1" applyAlignment="1">
      <alignment horizontal="right"/>
    </xf>
    <xf numFmtId="166" fontId="14" fillId="14" borderId="4" xfId="11" applyNumberFormat="1" applyFont="1" applyFill="1" applyBorder="1" applyAlignment="1">
      <alignment vertical="center" wrapText="1"/>
    </xf>
    <xf numFmtId="166" fontId="14" fillId="4" borderId="4" xfId="11" applyNumberFormat="1" applyFont="1" applyFill="1" applyBorder="1" applyAlignment="1" applyProtection="1">
      <alignment horizontal="right" vertical="center" wrapText="1"/>
      <protection hidden="1"/>
    </xf>
    <xf numFmtId="166" fontId="30" fillId="4" borderId="24" xfId="11" applyNumberFormat="1" applyFont="1" applyFill="1" applyBorder="1" applyAlignment="1">
      <alignment vertical="center" wrapText="1"/>
    </xf>
    <xf numFmtId="0" fontId="88" fillId="0" borderId="96" xfId="20" applyFont="1" applyBorder="1" applyAlignment="1">
      <alignment horizontal="right" shrinkToFit="1"/>
    </xf>
    <xf numFmtId="173" fontId="86" fillId="0" borderId="95" xfId="20" applyNumberFormat="1" applyFont="1" applyBorder="1" applyAlignment="1" applyProtection="1">
      <alignment horizontal="left" shrinkToFit="1"/>
      <protection locked="0"/>
    </xf>
    <xf numFmtId="0" fontId="88" fillId="0" borderId="96" xfId="20" applyFont="1" applyBorder="1" applyAlignment="1">
      <alignment horizontal="right" vertical="top" shrinkToFit="1"/>
    </xf>
    <xf numFmtId="173" fontId="86" fillId="0" borderId="95" xfId="20" applyNumberFormat="1" applyFont="1" applyBorder="1" applyAlignment="1" applyProtection="1">
      <alignment horizontal="left" vertical="top" shrinkToFit="1"/>
      <protection locked="0"/>
    </xf>
    <xf numFmtId="0" fontId="86" fillId="0" borderId="120" xfId="20" applyFont="1" applyBorder="1" applyAlignment="1" applyProtection="1">
      <alignment horizontal="left" wrapText="1" indent="2"/>
      <protection locked="0"/>
    </xf>
    <xf numFmtId="0" fontId="88" fillId="0" borderId="121" xfId="20" applyFont="1" applyBorder="1" applyAlignment="1">
      <alignment horizontal="right" shrinkToFit="1"/>
    </xf>
    <xf numFmtId="173" fontId="86" fillId="0" borderId="122" xfId="20" applyNumberFormat="1" applyFont="1" applyBorder="1" applyAlignment="1" applyProtection="1">
      <alignment horizontal="left" shrinkToFit="1"/>
      <protection locked="0"/>
    </xf>
    <xf numFmtId="0" fontId="88" fillId="0" borderId="123" xfId="20" applyFont="1" applyBorder="1" applyAlignment="1">
      <alignment horizontal="right" shrinkToFit="1"/>
    </xf>
    <xf numFmtId="173" fontId="86" fillId="0" borderId="123" xfId="20" applyNumberFormat="1" applyFont="1" applyBorder="1" applyAlignment="1" applyProtection="1">
      <alignment horizontal="left" shrinkToFit="1"/>
      <protection locked="0"/>
    </xf>
    <xf numFmtId="0" fontId="86" fillId="0" borderId="120" xfId="20" applyFont="1" applyBorder="1" applyAlignment="1" applyProtection="1">
      <alignment horizontal="left" indent="2"/>
      <protection locked="0"/>
    </xf>
    <xf numFmtId="0" fontId="88" fillId="0" borderId="121" xfId="20" applyFont="1" applyBorder="1" applyAlignment="1">
      <alignment horizontal="right" vertical="top" shrinkToFit="1"/>
    </xf>
    <xf numFmtId="173" fontId="86" fillId="0" borderId="122" xfId="20" applyNumberFormat="1" applyFont="1" applyBorder="1" applyAlignment="1" applyProtection="1">
      <alignment horizontal="left" vertical="top" shrinkToFit="1"/>
      <protection locked="0"/>
    </xf>
    <xf numFmtId="0" fontId="88" fillId="0" borderId="123" xfId="20" applyFont="1" applyBorder="1" applyAlignment="1">
      <alignment horizontal="right" vertical="top" shrinkToFit="1"/>
    </xf>
    <xf numFmtId="173" fontId="86" fillId="0" borderId="123" xfId="20" applyNumberFormat="1" applyFont="1" applyBorder="1" applyAlignment="1" applyProtection="1">
      <alignment horizontal="left" vertical="top" shrinkToFit="1"/>
      <protection locked="0"/>
    </xf>
    <xf numFmtId="165" fontId="86" fillId="0" borderId="120" xfId="20" applyNumberFormat="1" applyFont="1" applyBorder="1" applyAlignment="1">
      <alignment horizontal="left" indent="1"/>
    </xf>
    <xf numFmtId="165" fontId="86" fillId="0" borderId="121" xfId="20" applyNumberFormat="1" applyFont="1" applyBorder="1" applyAlignment="1">
      <alignment wrapText="1"/>
    </xf>
    <xf numFmtId="165" fontId="86" fillId="0" borderId="122" xfId="20" applyNumberFormat="1" applyFont="1" applyBorder="1" applyAlignment="1">
      <alignment wrapText="1"/>
    </xf>
    <xf numFmtId="164" fontId="88" fillId="0" borderId="120" xfId="20" applyNumberFormat="1" applyFont="1" applyBorder="1" applyAlignment="1">
      <alignment horizontal="left" indent="2" shrinkToFit="1"/>
    </xf>
    <xf numFmtId="14" fontId="88" fillId="0" borderId="121" xfId="20" applyNumberFormat="1" applyFont="1" applyBorder="1" applyAlignment="1" applyProtection="1">
      <alignment horizontal="left" shrinkToFit="1"/>
      <protection locked="0"/>
    </xf>
    <xf numFmtId="173" fontId="88" fillId="0" borderId="122" xfId="20" applyNumberFormat="1" applyFont="1" applyBorder="1" applyAlignment="1" applyProtection="1">
      <alignment horizontal="center" shrinkToFit="1"/>
      <protection locked="0"/>
    </xf>
    <xf numFmtId="0" fontId="86" fillId="0" borderId="124" xfId="20" applyFont="1" applyBorder="1" applyAlignment="1" applyProtection="1">
      <alignment horizontal="left" indent="1"/>
      <protection locked="0"/>
    </xf>
    <xf numFmtId="0" fontId="86" fillId="0" borderId="125" xfId="20" applyFont="1" applyBorder="1" applyAlignment="1" applyProtection="1">
      <alignment wrapText="1"/>
      <protection locked="0"/>
    </xf>
    <xf numFmtId="0" fontId="86" fillId="0" borderId="126" xfId="20" applyFont="1" applyBorder="1" applyAlignment="1" applyProtection="1">
      <alignment wrapText="1"/>
      <protection locked="0"/>
    </xf>
    <xf numFmtId="0" fontId="89" fillId="0" borderId="120" xfId="20" applyFont="1" applyBorder="1" applyAlignment="1" applyProtection="1">
      <alignment horizontal="left" vertical="top" indent="1" shrinkToFit="1"/>
      <protection locked="0"/>
    </xf>
    <xf numFmtId="0" fontId="86" fillId="0" borderId="121" xfId="20" applyFont="1" applyBorder="1" applyAlignment="1" applyProtection="1">
      <alignment horizontal="center" vertical="top" wrapText="1"/>
      <protection locked="0"/>
    </xf>
    <xf numFmtId="0" fontId="86" fillId="0" borderId="122" xfId="20" applyFont="1" applyBorder="1" applyAlignment="1" applyProtection="1">
      <alignment horizontal="center" vertical="top" wrapText="1"/>
      <protection locked="0"/>
    </xf>
    <xf numFmtId="0" fontId="88" fillId="0" borderId="120" xfId="20" applyFont="1" applyBorder="1" applyAlignment="1" applyProtection="1">
      <alignment horizontal="left" vertical="top" wrapText="1" indent="2"/>
      <protection locked="0"/>
    </xf>
    <xf numFmtId="164" fontId="86" fillId="0" borderId="121" xfId="20" applyNumberFormat="1" applyFont="1" applyBorder="1" applyAlignment="1" applyProtection="1">
      <alignment horizontal="center" vertical="top" wrapText="1"/>
      <protection locked="0"/>
    </xf>
    <xf numFmtId="164" fontId="86" fillId="0" borderId="122" xfId="20" applyNumberFormat="1" applyFont="1" applyBorder="1" applyAlignment="1" applyProtection="1">
      <alignment horizontal="center" vertical="top" wrapText="1"/>
      <protection locked="0"/>
    </xf>
    <xf numFmtId="165" fontId="88" fillId="0" borderId="120" xfId="20" applyNumberFormat="1" applyFont="1" applyBorder="1" applyAlignment="1" applyProtection="1">
      <alignment horizontal="left" vertical="top" wrapText="1" indent="2"/>
      <protection locked="0"/>
    </xf>
    <xf numFmtId="165" fontId="88" fillId="0" borderId="120" xfId="20" applyNumberFormat="1" applyFont="1" applyBorder="1" applyAlignment="1" applyProtection="1">
      <alignment horizontal="left" vertical="top" wrapText="1" indent="1"/>
      <protection locked="0"/>
    </xf>
    <xf numFmtId="165" fontId="89" fillId="0" borderId="120" xfId="20" applyNumberFormat="1" applyFont="1" applyBorder="1" applyAlignment="1" applyProtection="1">
      <alignment horizontal="left" vertical="top" wrapText="1" indent="1"/>
      <protection locked="0"/>
    </xf>
    <xf numFmtId="4" fontId="86" fillId="0" borderId="121" xfId="20" applyNumberFormat="1" applyFont="1" applyBorder="1" applyAlignment="1" applyProtection="1">
      <alignment horizontal="center" vertical="top" wrapText="1"/>
      <protection locked="0"/>
    </xf>
    <xf numFmtId="4" fontId="86" fillId="0" borderId="122" xfId="20" applyNumberFormat="1" applyFont="1" applyBorder="1" applyAlignment="1" applyProtection="1">
      <alignment horizontal="center" vertical="top" wrapText="1"/>
      <protection locked="0"/>
    </xf>
    <xf numFmtId="0" fontId="88" fillId="0" borderId="129" xfId="20" applyFont="1" applyBorder="1" applyAlignment="1" applyProtection="1">
      <alignment horizontal="right" vertical="top" wrapText="1"/>
      <protection locked="0"/>
    </xf>
    <xf numFmtId="4" fontId="86" fillId="0" borderId="130" xfId="20" applyNumberFormat="1" applyFont="1" applyBorder="1" applyAlignment="1" applyProtection="1">
      <alignment horizontal="center" vertical="top" wrapText="1"/>
      <protection locked="0"/>
    </xf>
    <xf numFmtId="4" fontId="86" fillId="0" borderId="131" xfId="20" applyNumberFormat="1" applyFont="1" applyBorder="1" applyAlignment="1" applyProtection="1">
      <alignment horizontal="center" vertical="top" wrapText="1"/>
      <protection locked="0"/>
    </xf>
    <xf numFmtId="173" fontId="85" fillId="0" borderId="120" xfId="20" applyNumberFormat="1" applyFont="1" applyBorder="1" applyAlignment="1" applyProtection="1">
      <alignment horizontal="left" wrapText="1"/>
      <protection locked="0"/>
    </xf>
    <xf numFmtId="164" fontId="85" fillId="0" borderId="121" xfId="20" applyNumberFormat="1" applyFont="1" applyBorder="1" applyAlignment="1">
      <alignment horizontal="left" wrapText="1"/>
    </xf>
    <xf numFmtId="164" fontId="85" fillId="0" borderId="122" xfId="20" applyNumberFormat="1" applyFont="1" applyBorder="1" applyAlignment="1">
      <alignment horizontal="left" wrapText="1"/>
    </xf>
    <xf numFmtId="173" fontId="89" fillId="0" borderId="124" xfId="20" applyNumberFormat="1" applyFont="1" applyBorder="1" applyAlignment="1" applyProtection="1">
      <alignment horizontal="left" wrapText="1"/>
      <protection locked="0"/>
    </xf>
    <xf numFmtId="0" fontId="88" fillId="0" borderId="132" xfId="20" applyFont="1" applyBorder="1" applyAlignment="1">
      <alignment horizontal="left" wrapText="1"/>
    </xf>
    <xf numFmtId="164" fontId="85" fillId="0" borderId="133" xfId="20" applyNumberFormat="1" applyFont="1" applyBorder="1" applyAlignment="1">
      <alignment horizontal="left" wrapText="1"/>
    </xf>
    <xf numFmtId="43" fontId="0" fillId="0" borderId="34" xfId="11" applyFont="1" applyBorder="1"/>
    <xf numFmtId="0" fontId="0" fillId="0" borderId="135" xfId="0" applyBorder="1"/>
    <xf numFmtId="170" fontId="0" fillId="0" borderId="34" xfId="11" applyNumberFormat="1" applyFont="1" applyBorder="1"/>
    <xf numFmtId="0" fontId="18" fillId="0" borderId="0" xfId="0" applyFont="1" applyAlignment="1">
      <alignment horizontal="center" vertical="top"/>
    </xf>
    <xf numFmtId="43" fontId="0" fillId="0" borderId="135" xfId="11" applyFont="1" applyBorder="1"/>
    <xf numFmtId="43" fontId="3" fillId="0" borderId="19" xfId="11" applyFont="1" applyBorder="1"/>
    <xf numFmtId="43" fontId="97" fillId="0" borderId="34" xfId="11" applyFont="1" applyBorder="1"/>
    <xf numFmtId="43" fontId="97" fillId="0" borderId="135" xfId="11" applyFont="1" applyBorder="1"/>
    <xf numFmtId="173" fontId="97" fillId="26" borderId="83" xfId="23" applyNumberFormat="1" applyFont="1"/>
    <xf numFmtId="164" fontId="0" fillId="0" borderId="34" xfId="12" applyNumberFormat="1" applyFont="1" applyBorder="1"/>
    <xf numFmtId="164" fontId="3" fillId="0" borderId="34" xfId="12" applyNumberFormat="1" applyFont="1" applyBorder="1"/>
    <xf numFmtId="164" fontId="97" fillId="0" borderId="34" xfId="12" applyNumberFormat="1" applyFont="1" applyBorder="1"/>
    <xf numFmtId="0" fontId="0" fillId="0" borderId="136" xfId="0" applyBorder="1"/>
    <xf numFmtId="43" fontId="97" fillId="0" borderId="136" xfId="11" applyFont="1" applyBorder="1"/>
    <xf numFmtId="0" fontId="105" fillId="0" borderId="20" xfId="0" applyFont="1" applyBorder="1" applyAlignment="1">
      <alignment horizontal="right"/>
    </xf>
    <xf numFmtId="0" fontId="3" fillId="35" borderId="20" xfId="26" applyFont="1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7" borderId="0" xfId="0" applyFont="1" applyFill="1"/>
    <xf numFmtId="0" fontId="0" fillId="7" borderId="0" xfId="0" applyFill="1"/>
    <xf numFmtId="0" fontId="24" fillId="10" borderId="0" xfId="0" applyFont="1" applyFill="1" applyAlignment="1">
      <alignment horizontal="center" vertical="center"/>
    </xf>
    <xf numFmtId="0" fontId="41" fillId="0" borderId="0" xfId="0" applyFont="1" applyAlignment="1">
      <alignment horizontal="center" wrapText="1"/>
    </xf>
    <xf numFmtId="175" fontId="42" fillId="0" borderId="42" xfId="0" applyNumberFormat="1" applyFont="1" applyBorder="1" applyAlignment="1">
      <alignment horizontal="center" wrapText="1"/>
    </xf>
    <xf numFmtId="0" fontId="41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0" fillId="0" borderId="0" xfId="0"/>
    <xf numFmtId="0" fontId="55" fillId="26" borderId="83" xfId="23" applyAlignment="1" applyProtection="1">
      <alignment horizontal="left" wrapText="1"/>
      <protection locked="0"/>
    </xf>
    <xf numFmtId="0" fontId="84" fillId="27" borderId="83" xfId="24" applyAlignment="1" applyProtection="1">
      <alignment horizontal="left" wrapText="1"/>
      <protection locked="0"/>
    </xf>
    <xf numFmtId="183" fontId="84" fillId="27" borderId="83" xfId="24" applyNumberFormat="1" applyAlignment="1" applyProtection="1">
      <alignment horizontal="left" wrapText="1"/>
      <protection locked="0"/>
    </xf>
    <xf numFmtId="9" fontId="55" fillId="26" borderId="83" xfId="13" applyFont="1" applyFill="1" applyBorder="1" applyAlignment="1" applyProtection="1">
      <alignment horizontal="left" wrapText="1"/>
      <protection locked="0"/>
    </xf>
    <xf numFmtId="183" fontId="55" fillId="26" borderId="83" xfId="23" applyNumberFormat="1" applyAlignment="1" applyProtection="1">
      <alignment horizontal="left" wrapText="1"/>
      <protection locked="0"/>
    </xf>
    <xf numFmtId="0" fontId="55" fillId="26" borderId="83" xfId="23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75" fillId="18" borderId="0" xfId="20" applyFont="1" applyFill="1" applyAlignment="1">
      <alignment horizontal="center" vertical="center"/>
    </xf>
    <xf numFmtId="0" fontId="71" fillId="18" borderId="0" xfId="20" applyFont="1" applyFill="1" applyAlignment="1">
      <alignment horizontal="center" vertical="center"/>
    </xf>
    <xf numFmtId="0" fontId="76" fillId="18" borderId="0" xfId="20" applyFont="1" applyFill="1" applyAlignment="1">
      <alignment horizontal="center" vertical="center"/>
    </xf>
    <xf numFmtId="14" fontId="55" fillId="26" borderId="83" xfId="23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18" borderId="26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center"/>
    </xf>
    <xf numFmtId="0" fontId="77" fillId="0" borderId="72" xfId="0" applyFont="1" applyBorder="1" applyAlignment="1">
      <alignment wrapText="1"/>
    </xf>
    <xf numFmtId="0" fontId="77" fillId="0" borderId="73" xfId="0" applyFont="1" applyBorder="1" applyAlignment="1">
      <alignment wrapText="1"/>
    </xf>
    <xf numFmtId="0" fontId="79" fillId="0" borderId="65" xfId="0" applyFont="1" applyBorder="1" applyAlignment="1">
      <alignment horizontal="left" wrapText="1" readingOrder="1"/>
    </xf>
    <xf numFmtId="0" fontId="79" fillId="0" borderId="66" xfId="0" applyFont="1" applyBorder="1" applyAlignment="1">
      <alignment horizontal="left" wrapText="1" readingOrder="1"/>
    </xf>
    <xf numFmtId="0" fontId="79" fillId="0" borderId="69" xfId="0" applyFont="1" applyBorder="1" applyAlignment="1">
      <alignment horizontal="left" wrapText="1" readingOrder="1"/>
    </xf>
    <xf numFmtId="0" fontId="79" fillId="0" borderId="70" xfId="0" applyFont="1" applyBorder="1" applyAlignment="1">
      <alignment horizontal="left" wrapText="1" readingOrder="1"/>
    </xf>
    <xf numFmtId="0" fontId="55" fillId="9" borderId="16" xfId="7" applyFont="1">
      <alignment vertical="center" wrapText="1"/>
      <protection locked="0" hidden="1"/>
    </xf>
    <xf numFmtId="0" fontId="67" fillId="0" borderId="0" xfId="0" applyFont="1" applyAlignment="1">
      <alignment vertical="center" wrapText="1"/>
    </xf>
    <xf numFmtId="0" fontId="0" fillId="18" borderId="50" xfId="0" applyFill="1" applyBorder="1" applyAlignment="1">
      <alignment horizontal="center"/>
    </xf>
    <xf numFmtId="173" fontId="86" fillId="0" borderId="132" xfId="20" applyNumberFormat="1" applyFont="1" applyBorder="1" applyAlignment="1">
      <alignment horizontal="center" wrapText="1"/>
    </xf>
    <xf numFmtId="173" fontId="86" fillId="0" borderId="133" xfId="20" applyNumberFormat="1" applyFont="1" applyBorder="1" applyAlignment="1">
      <alignment horizontal="center" wrapText="1"/>
    </xf>
    <xf numFmtId="173" fontId="86" fillId="0" borderId="134" xfId="20" applyNumberFormat="1" applyFont="1" applyBorder="1" applyAlignment="1">
      <alignment horizontal="center" wrapText="1"/>
    </xf>
    <xf numFmtId="180" fontId="86" fillId="0" borderId="132" xfId="20" applyNumberFormat="1" applyFont="1" applyBorder="1" applyAlignment="1" applyProtection="1">
      <alignment horizontal="center" vertical="top" wrapText="1"/>
      <protection locked="0"/>
    </xf>
    <xf numFmtId="180" fontId="86" fillId="0" borderId="133" xfId="20" applyNumberFormat="1" applyFont="1" applyBorder="1" applyAlignment="1" applyProtection="1">
      <alignment horizontal="center" vertical="top" wrapText="1"/>
      <protection locked="0"/>
    </xf>
    <xf numFmtId="180" fontId="86" fillId="0" borderId="134" xfId="20" applyNumberFormat="1" applyFont="1" applyBorder="1" applyAlignment="1" applyProtection="1">
      <alignment horizontal="center" vertical="top" wrapText="1"/>
      <protection locked="0"/>
    </xf>
    <xf numFmtId="165" fontId="85" fillId="18" borderId="127" xfId="20" applyNumberFormat="1" applyFont="1" applyFill="1" applyBorder="1" applyAlignment="1">
      <alignment horizontal="left" wrapText="1"/>
    </xf>
    <xf numFmtId="165" fontId="85" fillId="18" borderId="128" xfId="20" applyNumberFormat="1" applyFont="1" applyFill="1" applyBorder="1" applyAlignment="1">
      <alignment horizontal="left" wrapText="1"/>
    </xf>
    <xf numFmtId="165" fontId="85" fillId="18" borderId="86" xfId="20" applyNumberFormat="1" applyFont="1" applyFill="1" applyBorder="1" applyAlignment="1">
      <alignment horizontal="center" wrapText="1"/>
    </xf>
    <xf numFmtId="165" fontId="85" fillId="18" borderId="80" xfId="20" applyNumberFormat="1" applyFont="1" applyFill="1" applyBorder="1" applyAlignment="1">
      <alignment horizontal="center" wrapText="1"/>
    </xf>
    <xf numFmtId="165" fontId="85" fillId="18" borderId="0" xfId="20" applyNumberFormat="1" applyFont="1" applyFill="1" applyAlignment="1">
      <alignment horizontal="center" wrapText="1"/>
    </xf>
    <xf numFmtId="173" fontId="86" fillId="0" borderId="121" xfId="20" applyNumberFormat="1" applyFont="1" applyBorder="1" applyAlignment="1">
      <alignment horizontal="center" wrapText="1"/>
    </xf>
    <xf numFmtId="173" fontId="86" fillId="0" borderId="122" xfId="20" applyNumberFormat="1" applyFont="1" applyBorder="1" applyAlignment="1">
      <alignment horizontal="center" wrapText="1"/>
    </xf>
    <xf numFmtId="173" fontId="86" fillId="0" borderId="123" xfId="20" applyNumberFormat="1" applyFont="1" applyBorder="1" applyAlignment="1">
      <alignment horizontal="center" wrapText="1"/>
    </xf>
    <xf numFmtId="0" fontId="86" fillId="0" borderId="121" xfId="20" applyFont="1" applyBorder="1" applyAlignment="1">
      <alignment horizontal="center" vertical="top" wrapText="1"/>
    </xf>
    <xf numFmtId="0" fontId="86" fillId="0" borderId="122" xfId="20" applyFont="1" applyBorder="1" applyAlignment="1">
      <alignment horizontal="center" vertical="top" wrapText="1"/>
    </xf>
    <xf numFmtId="0" fontId="86" fillId="0" borderId="123" xfId="20" applyFont="1" applyBorder="1" applyAlignment="1">
      <alignment horizontal="center" vertical="top" wrapText="1"/>
    </xf>
    <xf numFmtId="0" fontId="86" fillId="0" borderId="121" xfId="20" applyFont="1" applyBorder="1" applyAlignment="1" applyProtection="1">
      <alignment horizontal="center" vertical="top" wrapText="1"/>
      <protection locked="0"/>
    </xf>
    <xf numFmtId="0" fontId="86" fillId="0" borderId="122" xfId="20" applyFont="1" applyBorder="1" applyAlignment="1" applyProtection="1">
      <alignment horizontal="center" vertical="top" wrapText="1"/>
      <protection locked="0"/>
    </xf>
    <xf numFmtId="9" fontId="88" fillId="0" borderId="121" xfId="21" applyFont="1" applyFill="1" applyBorder="1" applyAlignment="1" applyProtection="1">
      <alignment horizontal="center"/>
      <protection locked="0"/>
    </xf>
    <xf numFmtId="9" fontId="88" fillId="0" borderId="122" xfId="21" applyFont="1" applyFill="1" applyBorder="1" applyAlignment="1" applyProtection="1">
      <alignment horizontal="center"/>
      <protection locked="0"/>
    </xf>
    <xf numFmtId="9" fontId="88" fillId="0" borderId="123" xfId="21" applyFont="1" applyFill="1" applyBorder="1" applyAlignment="1" applyProtection="1">
      <alignment horizontal="center"/>
      <protection locked="0"/>
    </xf>
    <xf numFmtId="164" fontId="86" fillId="0" borderId="121" xfId="20" applyNumberFormat="1" applyFont="1" applyBorder="1" applyAlignment="1" applyProtection="1">
      <alignment horizontal="center" vertical="top" wrapText="1"/>
      <protection locked="0"/>
    </xf>
    <xf numFmtId="164" fontId="86" fillId="0" borderId="122" xfId="20" applyNumberFormat="1" applyFont="1" applyBorder="1" applyAlignment="1" applyProtection="1">
      <alignment horizontal="center" vertical="top" wrapText="1"/>
      <protection locked="0"/>
    </xf>
    <xf numFmtId="165" fontId="86" fillId="0" borderId="121" xfId="20" applyNumberFormat="1" applyFont="1" applyBorder="1" applyAlignment="1">
      <alignment horizontal="center" wrapText="1"/>
    </xf>
    <xf numFmtId="165" fontId="86" fillId="0" borderId="122" xfId="20" applyNumberFormat="1" applyFont="1" applyBorder="1" applyAlignment="1">
      <alignment horizontal="center" wrapText="1"/>
    </xf>
    <xf numFmtId="165" fontId="86" fillId="0" borderId="123" xfId="20" applyNumberFormat="1" applyFont="1" applyBorder="1" applyAlignment="1">
      <alignment horizontal="center" wrapText="1"/>
    </xf>
    <xf numFmtId="164" fontId="86" fillId="0" borderId="123" xfId="20" applyNumberFormat="1" applyFont="1" applyBorder="1" applyAlignment="1" applyProtection="1">
      <alignment horizontal="center" vertical="top" wrapText="1"/>
      <protection locked="0"/>
    </xf>
    <xf numFmtId="178" fontId="86" fillId="0" borderId="121" xfId="20" applyNumberFormat="1" applyFont="1" applyBorder="1" applyAlignment="1">
      <alignment horizontal="center" vertical="top" wrapText="1"/>
    </xf>
    <xf numFmtId="178" fontId="86" fillId="0" borderId="122" xfId="20" applyNumberFormat="1" applyFont="1" applyBorder="1" applyAlignment="1">
      <alignment horizontal="center" vertical="top" wrapText="1"/>
    </xf>
    <xf numFmtId="178" fontId="86" fillId="0" borderId="123" xfId="20" applyNumberFormat="1" applyFont="1" applyBorder="1" applyAlignment="1">
      <alignment horizontal="center" vertical="top" wrapText="1"/>
    </xf>
    <xf numFmtId="0" fontId="85" fillId="18" borderId="118" xfId="20" applyFont="1" applyFill="1" applyBorder="1" applyAlignment="1" applyProtection="1">
      <alignment wrapText="1"/>
      <protection locked="0"/>
    </xf>
    <xf numFmtId="0" fontId="85" fillId="18" borderId="111" xfId="20" applyFont="1" applyFill="1" applyBorder="1" applyAlignment="1" applyProtection="1">
      <alignment wrapText="1"/>
      <protection locked="0"/>
    </xf>
    <xf numFmtId="0" fontId="85" fillId="18" borderId="111" xfId="20" applyFont="1" applyFill="1" applyBorder="1" applyAlignment="1" applyProtection="1">
      <alignment horizontal="center" wrapText="1"/>
      <protection locked="0"/>
    </xf>
    <xf numFmtId="0" fontId="85" fillId="18" borderId="119" xfId="20" applyFont="1" applyFill="1" applyBorder="1" applyAlignment="1" applyProtection="1">
      <alignment horizontal="center" wrapText="1"/>
      <protection locked="0"/>
    </xf>
    <xf numFmtId="180" fontId="86" fillId="0" borderId="121" xfId="20" applyNumberFormat="1" applyFont="1" applyBorder="1" applyAlignment="1" applyProtection="1">
      <alignment horizontal="center" vertical="top" wrapText="1"/>
      <protection locked="0"/>
    </xf>
    <xf numFmtId="180" fontId="86" fillId="0" borderId="122" xfId="20" applyNumberFormat="1" applyFont="1" applyBorder="1" applyAlignment="1" applyProtection="1">
      <alignment horizontal="center" vertical="top" wrapText="1"/>
      <protection locked="0"/>
    </xf>
    <xf numFmtId="180" fontId="86" fillId="0" borderId="123" xfId="20" applyNumberFormat="1" applyFont="1" applyBorder="1" applyAlignment="1" applyProtection="1">
      <alignment horizontal="center" vertical="top" wrapText="1"/>
      <protection locked="0"/>
    </xf>
    <xf numFmtId="9" fontId="86" fillId="0" borderId="121" xfId="20" applyNumberFormat="1" applyFont="1" applyBorder="1" applyAlignment="1">
      <alignment horizontal="center" shrinkToFit="1"/>
    </xf>
    <xf numFmtId="9" fontId="86" fillId="0" borderId="122" xfId="20" applyNumberFormat="1" applyFont="1" applyBorder="1" applyAlignment="1">
      <alignment horizontal="center" shrinkToFit="1"/>
    </xf>
    <xf numFmtId="9" fontId="86" fillId="0" borderId="121" xfId="20" applyNumberFormat="1" applyFont="1" applyBorder="1" applyAlignment="1" applyProtection="1">
      <alignment horizontal="center" vertical="top" shrinkToFit="1"/>
      <protection locked="0"/>
    </xf>
    <xf numFmtId="9" fontId="86" fillId="0" borderId="122" xfId="20" applyNumberFormat="1" applyFont="1" applyBorder="1" applyAlignment="1" applyProtection="1">
      <alignment horizontal="center" vertical="top" shrinkToFit="1"/>
      <protection locked="0"/>
    </xf>
    <xf numFmtId="173" fontId="88" fillId="0" borderId="121" xfId="21" applyNumberFormat="1" applyFont="1" applyFill="1" applyBorder="1" applyAlignment="1">
      <alignment horizontal="center"/>
    </xf>
    <xf numFmtId="173" fontId="88" fillId="0" borderId="122" xfId="21" applyNumberFormat="1" applyFont="1" applyFill="1" applyBorder="1" applyAlignment="1">
      <alignment horizontal="center"/>
    </xf>
    <xf numFmtId="165" fontId="86" fillId="0" borderId="125" xfId="20" applyNumberFormat="1" applyFont="1" applyBorder="1" applyAlignment="1">
      <alignment horizontal="center" wrapText="1"/>
    </xf>
    <xf numFmtId="165" fontId="86" fillId="0" borderId="126" xfId="20" applyNumberFormat="1" applyFont="1" applyBorder="1" applyAlignment="1">
      <alignment horizontal="center" wrapText="1"/>
    </xf>
    <xf numFmtId="164" fontId="86" fillId="0" borderId="102" xfId="20" applyNumberFormat="1" applyFont="1" applyBorder="1" applyAlignment="1">
      <alignment horizontal="center" vertical="top" wrapText="1"/>
    </xf>
    <xf numFmtId="164" fontId="86" fillId="0" borderId="103" xfId="20" applyNumberFormat="1" applyFont="1" applyBorder="1" applyAlignment="1">
      <alignment horizontal="center" vertical="top" wrapText="1"/>
    </xf>
    <xf numFmtId="165" fontId="87" fillId="0" borderId="102" xfId="20" applyNumberFormat="1" applyFont="1" applyBorder="1" applyAlignment="1">
      <alignment horizontal="center" vertical="top" wrapText="1"/>
    </xf>
    <xf numFmtId="165" fontId="87" fillId="0" borderId="103" xfId="20" applyNumberFormat="1" applyFont="1" applyBorder="1" applyAlignment="1">
      <alignment horizontal="center" vertical="top" wrapText="1"/>
    </xf>
    <xf numFmtId="165" fontId="87" fillId="0" borderId="104" xfId="20" applyNumberFormat="1" applyFont="1" applyBorder="1" applyAlignment="1">
      <alignment horizontal="center" vertical="top" wrapText="1"/>
    </xf>
    <xf numFmtId="0" fontId="86" fillId="0" borderId="121" xfId="20" applyFont="1" applyBorder="1" applyAlignment="1" applyProtection="1">
      <alignment horizontal="center" vertical="top" shrinkToFit="1"/>
      <protection locked="0"/>
    </xf>
    <xf numFmtId="0" fontId="86" fillId="0" borderId="122" xfId="20" applyFont="1" applyBorder="1" applyAlignment="1" applyProtection="1">
      <alignment horizontal="center" vertical="top" shrinkToFit="1"/>
      <protection locked="0"/>
    </xf>
    <xf numFmtId="165" fontId="86" fillId="0" borderId="92" xfId="20" quotePrefix="1" applyNumberFormat="1" applyFont="1" applyBorder="1" applyAlignment="1">
      <alignment horizontal="center" vertical="top" wrapText="1"/>
    </xf>
    <xf numFmtId="165" fontId="86" fillId="0" borderId="93" xfId="20" quotePrefix="1" applyNumberFormat="1" applyFont="1" applyBorder="1" applyAlignment="1">
      <alignment horizontal="center" vertical="top" wrapText="1"/>
    </xf>
    <xf numFmtId="165" fontId="87" fillId="0" borderId="92" xfId="20" applyNumberFormat="1" applyFont="1" applyBorder="1" applyAlignment="1">
      <alignment horizontal="center" vertical="top" wrapText="1"/>
    </xf>
    <xf numFmtId="165" fontId="87" fillId="0" borderId="93" xfId="20" applyNumberFormat="1" applyFont="1" applyBorder="1" applyAlignment="1">
      <alignment horizontal="center" vertical="top" wrapText="1"/>
    </xf>
    <xf numFmtId="165" fontId="87" fillId="0" borderId="94" xfId="20" applyNumberFormat="1" applyFont="1" applyBorder="1" applyAlignment="1">
      <alignment horizontal="center" vertical="top" wrapText="1"/>
    </xf>
    <xf numFmtId="4" fontId="86" fillId="0" borderId="92" xfId="20" applyNumberFormat="1" applyFont="1" applyBorder="1" applyAlignment="1">
      <alignment horizontal="center" vertical="top" wrapText="1"/>
    </xf>
    <xf numFmtId="4" fontId="86" fillId="0" borderId="93" xfId="20" applyNumberFormat="1" applyFont="1" applyBorder="1" applyAlignment="1">
      <alignment horizontal="center" vertical="top" wrapText="1"/>
    </xf>
    <xf numFmtId="4" fontId="87" fillId="0" borderId="92" xfId="20" applyNumberFormat="1" applyFont="1" applyBorder="1" applyAlignment="1">
      <alignment horizontal="center" vertical="top" wrapText="1"/>
    </xf>
    <xf numFmtId="4" fontId="87" fillId="0" borderId="93" xfId="20" applyNumberFormat="1" applyFont="1" applyBorder="1" applyAlignment="1">
      <alignment horizontal="center" vertical="top" wrapText="1"/>
    </xf>
    <xf numFmtId="4" fontId="87" fillId="0" borderId="94" xfId="20" applyNumberFormat="1" applyFont="1" applyBorder="1" applyAlignment="1">
      <alignment horizontal="center" vertical="top" wrapText="1"/>
    </xf>
    <xf numFmtId="3" fontId="86" fillId="0" borderId="92" xfId="20" applyNumberFormat="1" applyFont="1" applyBorder="1" applyAlignment="1">
      <alignment horizontal="center" vertical="top" wrapText="1"/>
    </xf>
    <xf numFmtId="3" fontId="86" fillId="0" borderId="93" xfId="20" applyNumberFormat="1" applyFont="1" applyBorder="1" applyAlignment="1">
      <alignment horizontal="center" vertical="top" wrapText="1"/>
    </xf>
    <xf numFmtId="3" fontId="87" fillId="0" borderId="92" xfId="20" applyNumberFormat="1" applyFont="1" applyBorder="1" applyAlignment="1">
      <alignment horizontal="center" vertical="top" wrapText="1"/>
    </xf>
    <xf numFmtId="3" fontId="87" fillId="0" borderId="93" xfId="20" applyNumberFormat="1" applyFont="1" applyBorder="1" applyAlignment="1">
      <alignment horizontal="center" vertical="top" wrapText="1"/>
    </xf>
    <xf numFmtId="3" fontId="87" fillId="0" borderId="94" xfId="20" applyNumberFormat="1" applyFont="1" applyBorder="1" applyAlignment="1">
      <alignment horizontal="center" vertical="top" wrapText="1"/>
    </xf>
    <xf numFmtId="0" fontId="86" fillId="0" borderId="92" xfId="20" applyFont="1" applyBorder="1" applyAlignment="1">
      <alignment horizontal="center" vertical="top" wrapText="1"/>
    </xf>
    <xf numFmtId="0" fontId="86" fillId="0" borderId="93" xfId="20" applyFont="1" applyBorder="1" applyAlignment="1">
      <alignment horizontal="center" vertical="top" wrapText="1"/>
    </xf>
    <xf numFmtId="14" fontId="86" fillId="0" borderId="92" xfId="20" applyNumberFormat="1" applyFont="1" applyBorder="1" applyAlignment="1" applyProtection="1">
      <alignment horizontal="center" vertical="top" wrapText="1"/>
      <protection locked="0"/>
    </xf>
    <xf numFmtId="14" fontId="86" fillId="0" borderId="93" xfId="20" applyNumberFormat="1" applyFont="1" applyBorder="1" applyAlignment="1" applyProtection="1">
      <alignment horizontal="center" vertical="top" wrapText="1"/>
      <protection locked="0"/>
    </xf>
    <xf numFmtId="14" fontId="87" fillId="0" borderId="92" xfId="20" applyNumberFormat="1" applyFont="1" applyBorder="1" applyAlignment="1">
      <alignment horizontal="center" vertical="top" wrapText="1"/>
    </xf>
    <xf numFmtId="14" fontId="87" fillId="0" borderId="93" xfId="20" applyNumberFormat="1" applyFont="1" applyBorder="1" applyAlignment="1">
      <alignment horizontal="center" vertical="top" wrapText="1"/>
    </xf>
    <xf numFmtId="14" fontId="87" fillId="0" borderId="94" xfId="20" applyNumberFormat="1" applyFont="1" applyBorder="1" applyAlignment="1">
      <alignment horizontal="center" vertical="top" wrapText="1"/>
    </xf>
    <xf numFmtId="0" fontId="90" fillId="29" borderId="84" xfId="20" applyFont="1" applyFill="1" applyBorder="1" applyAlignment="1" applyProtection="1">
      <alignment horizontal="center" wrapText="1"/>
      <protection locked="0"/>
    </xf>
    <xf numFmtId="0" fontId="90" fillId="29" borderId="88" xfId="20" applyFont="1" applyFill="1" applyBorder="1" applyAlignment="1" applyProtection="1">
      <alignment horizontal="center" wrapText="1"/>
      <protection locked="0"/>
    </xf>
    <xf numFmtId="0" fontId="90" fillId="29" borderId="85" xfId="20" applyFont="1" applyFill="1" applyBorder="1" applyAlignment="1" applyProtection="1">
      <alignment horizontal="center" wrapText="1"/>
      <protection locked="0"/>
    </xf>
    <xf numFmtId="0" fontId="86" fillId="0" borderId="89" xfId="20" applyFont="1" applyBorder="1" applyAlignment="1">
      <alignment horizontal="center" vertical="top" wrapText="1"/>
    </xf>
    <xf numFmtId="0" fontId="86" fillId="0" borderId="90" xfId="20" applyFont="1" applyBorder="1" applyAlignment="1">
      <alignment horizontal="center" vertical="top" wrapText="1"/>
    </xf>
    <xf numFmtId="0" fontId="85" fillId="18" borderId="105" xfId="20" applyFont="1" applyFill="1" applyBorder="1" applyAlignment="1" applyProtection="1">
      <alignment horizontal="center" wrapText="1"/>
      <protection locked="0"/>
    </xf>
    <xf numFmtId="0" fontId="85" fillId="18" borderId="106" xfId="20" applyFont="1" applyFill="1" applyBorder="1" applyAlignment="1" applyProtection="1">
      <alignment horizontal="center" wrapText="1"/>
      <protection locked="0"/>
    </xf>
    <xf numFmtId="165" fontId="86" fillId="0" borderId="96" xfId="20" applyNumberFormat="1" applyFont="1" applyBorder="1" applyAlignment="1">
      <alignment horizontal="center" wrapText="1"/>
    </xf>
    <xf numFmtId="165" fontId="86" fillId="0" borderId="95" xfId="20" applyNumberFormat="1" applyFont="1" applyBorder="1" applyAlignment="1">
      <alignment horizontal="center" wrapText="1"/>
    </xf>
    <xf numFmtId="173" fontId="88" fillId="0" borderId="96" xfId="21" applyNumberFormat="1" applyFont="1" applyFill="1" applyBorder="1" applyAlignment="1">
      <alignment horizontal="center"/>
    </xf>
    <xf numFmtId="173" fontId="88" fillId="0" borderId="95" xfId="21" applyNumberFormat="1" applyFont="1" applyFill="1" applyBorder="1" applyAlignment="1">
      <alignment horizontal="center"/>
    </xf>
    <xf numFmtId="165" fontId="86" fillId="0" borderId="107" xfId="20" applyNumberFormat="1" applyFont="1" applyBorder="1" applyAlignment="1">
      <alignment horizontal="center" wrapText="1"/>
    </xf>
    <xf numFmtId="165" fontId="86" fillId="0" borderId="108" xfId="20" applyNumberFormat="1" applyFont="1" applyBorder="1" applyAlignment="1">
      <alignment horizontal="center" wrapText="1"/>
    </xf>
    <xf numFmtId="180" fontId="86" fillId="0" borderId="96" xfId="20" applyNumberFormat="1" applyFont="1" applyBorder="1" applyAlignment="1" applyProtection="1">
      <alignment horizontal="center" vertical="top" wrapText="1"/>
      <protection locked="0"/>
    </xf>
    <xf numFmtId="180" fontId="86" fillId="0" borderId="95" xfId="20" applyNumberFormat="1" applyFont="1" applyBorder="1" applyAlignment="1" applyProtection="1">
      <alignment horizontal="center" vertical="top" wrapText="1"/>
      <protection locked="0"/>
    </xf>
    <xf numFmtId="9" fontId="88" fillId="0" borderId="96" xfId="21" applyFont="1" applyFill="1" applyBorder="1" applyAlignment="1" applyProtection="1">
      <alignment horizontal="center"/>
      <protection locked="0"/>
    </xf>
    <xf numFmtId="9" fontId="88" fillId="0" borderId="95" xfId="21" applyFont="1" applyFill="1" applyBorder="1" applyAlignment="1" applyProtection="1">
      <alignment horizontal="center"/>
      <protection locked="0"/>
    </xf>
    <xf numFmtId="164" fontId="86" fillId="0" borderId="86" xfId="20" applyNumberFormat="1" applyFont="1" applyBorder="1" applyAlignment="1" applyProtection="1">
      <alignment horizontal="center" vertical="top" wrapText="1"/>
      <protection locked="0"/>
    </xf>
    <xf numFmtId="164" fontId="86" fillId="0" borderId="80" xfId="20" applyNumberFormat="1" applyFont="1" applyBorder="1" applyAlignment="1" applyProtection="1">
      <alignment horizontal="center" vertical="top" wrapText="1"/>
      <protection locked="0"/>
    </xf>
    <xf numFmtId="178" fontId="86" fillId="0" borderId="96" xfId="20" applyNumberFormat="1" applyFont="1" applyBorder="1" applyAlignment="1">
      <alignment horizontal="center" vertical="top" wrapText="1"/>
    </xf>
    <xf numFmtId="178" fontId="86" fillId="0" borderId="95" xfId="20" applyNumberFormat="1" applyFont="1" applyBorder="1" applyAlignment="1">
      <alignment horizontal="center" vertical="top" wrapText="1"/>
    </xf>
    <xf numFmtId="180" fontId="86" fillId="0" borderId="87" xfId="20" applyNumberFormat="1" applyFont="1" applyBorder="1" applyAlignment="1" applyProtection="1">
      <alignment horizontal="center" vertical="top" wrapText="1"/>
      <protection locked="0"/>
    </xf>
    <xf numFmtId="180" fontId="86" fillId="0" borderId="82" xfId="20" applyNumberFormat="1" applyFont="1" applyBorder="1" applyAlignment="1" applyProtection="1">
      <alignment horizontal="center" vertical="top" wrapText="1"/>
      <protection locked="0"/>
    </xf>
    <xf numFmtId="0" fontId="86" fillId="0" borderId="96" xfId="20" applyFont="1" applyBorder="1" applyAlignment="1">
      <alignment horizontal="center" vertical="top" wrapText="1"/>
    </xf>
    <xf numFmtId="0" fontId="86" fillId="0" borderId="95" xfId="20" applyFont="1" applyBorder="1" applyAlignment="1">
      <alignment horizontal="center" vertical="top" wrapText="1"/>
    </xf>
    <xf numFmtId="173" fontId="86" fillId="0" borderId="97" xfId="20" applyNumberFormat="1" applyFont="1" applyBorder="1" applyAlignment="1">
      <alignment horizontal="center" wrapText="1"/>
    </xf>
    <xf numFmtId="173" fontId="86" fillId="0" borderId="98" xfId="20" applyNumberFormat="1" applyFont="1" applyBorder="1" applyAlignment="1">
      <alignment horizontal="center" wrapText="1"/>
    </xf>
    <xf numFmtId="173" fontId="86" fillId="0" borderId="99" xfId="20" applyNumberFormat="1" applyFont="1" applyBorder="1" applyAlignment="1">
      <alignment horizontal="center" wrapText="1"/>
    </xf>
    <xf numFmtId="173" fontId="86" fillId="0" borderId="100" xfId="20" applyNumberFormat="1" applyFont="1" applyBorder="1" applyAlignment="1">
      <alignment horizont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16" fillId="11" borderId="16" xfId="8">
      <alignment horizontal="center" wrapText="1"/>
    </xf>
    <xf numFmtId="0" fontId="8" fillId="0" borderId="0" xfId="0" applyFont="1" applyAlignment="1">
      <alignment wrapText="1"/>
    </xf>
    <xf numFmtId="0" fontId="0" fillId="15" borderId="25" xfId="0" applyFill="1" applyBorder="1"/>
    <xf numFmtId="0" fontId="0" fillId="15" borderId="56" xfId="0" applyFill="1" applyBorder="1"/>
    <xf numFmtId="0" fontId="0" fillId="15" borderId="49" xfId="0" applyFill="1" applyBorder="1"/>
  </cellXfs>
  <cellStyles count="27">
    <cellStyle name="20% - Accent3" xfId="3" builtinId="38"/>
    <cellStyle name="20% - Accent5" xfId="26" builtinId="46"/>
    <cellStyle name="Accent1" xfId="25" builtinId="29"/>
    <cellStyle name="Accent5" xfId="4" builtinId="45"/>
    <cellStyle name="Calculation" xfId="24" builtinId="22"/>
    <cellStyle name="Cell" xfId="9" xr:uid="{B4D6F483-1D7C-4395-9649-2638AD878B02}"/>
    <cellStyle name="Col Title" xfId="22" xr:uid="{AB8867B2-B574-4946-83CD-1EB6D7A42A8C}"/>
    <cellStyle name="Col Total" xfId="17" xr:uid="{B37B8855-F369-4F8D-862E-F02B68E1A70A}"/>
    <cellStyle name="Column Header" xfId="8" xr:uid="{9B60525E-30C5-4C61-BB4B-F07F7B8B7C73}"/>
    <cellStyle name="Comma" xfId="11" builtinId="3"/>
    <cellStyle name="Currency" xfId="12" builtinId="4"/>
    <cellStyle name="Explanatory Text" xfId="15" builtinId="53"/>
    <cellStyle name="Explanatory Text Sm" xfId="16" xr:uid="{04B903BB-992F-40E7-80A7-7014A12EFC33}"/>
    <cellStyle name="Heading 1" xfId="2" builtinId="16" customBuiltin="1"/>
    <cellStyle name="Heading 2" xfId="14" builtinId="17"/>
    <cellStyle name="Hyperlink" xfId="5" builtinId="8"/>
    <cellStyle name="Input" xfId="23" builtinId="20"/>
    <cellStyle name="Input 2" xfId="7" xr:uid="{8F201A7C-8407-4742-87B4-244D653903EE}"/>
    <cellStyle name="Normal" xfId="0" builtinId="0"/>
    <cellStyle name="Normal 2" xfId="20" xr:uid="{53519A59-D0D8-4866-A673-F55CB19E2433}"/>
    <cellStyle name="Percent" xfId="13" builtinId="5"/>
    <cellStyle name="Percent 2" xfId="21" xr:uid="{21C9B675-1769-4101-9A95-429589632413}"/>
    <cellStyle name="Row Title" xfId="6" xr:uid="{AB78AB8F-FBFC-42D4-B7CA-896A9D6825C9}"/>
    <cellStyle name="Table Headers" xfId="18" xr:uid="{1BA9BFA7-B106-4718-A112-ADF1392C9825}"/>
    <cellStyle name="Table Totals" xfId="19" xr:uid="{2A881389-3C18-470F-B9FF-94E022F62A21}"/>
    <cellStyle name="Title" xfId="1" builtinId="15" customBuiltin="1"/>
    <cellStyle name="Total 2" xfId="10" xr:uid="{A1CCA07C-C832-48E7-A5E8-8F5153F60774}"/>
  </cellStyles>
  <dxfs count="128">
    <dxf>
      <font>
        <b val="0"/>
        <i val="0"/>
        <color rgb="FF808080"/>
      </font>
    </dxf>
    <dxf>
      <font>
        <b val="0"/>
        <i val="0"/>
        <color rgb="FF80808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&quot;$&quot;#,##0"/>
    </dxf>
    <dxf>
      <alignment wrapText="1"/>
    </dxf>
    <dxf>
      <alignment wrapText="1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8" tint="0.59999389629810485"/>
        </patternFill>
      </fill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rgb="FFFFFFFF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FFFFFF"/>
        </top>
        <bottom/>
      </border>
    </dxf>
    <dxf>
      <numFmt numFmtId="19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FFFFFF"/>
        </top>
        <bottom/>
      </border>
    </dxf>
    <dxf>
      <border outline="0">
        <top style="thin">
          <color rgb="FFFFFFFF"/>
        </top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numFmt numFmtId="165" formatCode="&quot;$&quot;#,##0"/>
    </dxf>
    <dxf>
      <numFmt numFmtId="165" formatCode="&quot;$&quot;#,##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&quot;$&quot;#,##0.00"/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 tint="0.59996337778862885"/>
        </bottom>
      </border>
    </dxf>
    <dxf>
      <border>
        <vertical style="thin">
          <color theme="3" tint="0.79998168889431442"/>
        </vertical>
      </border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6" tint="-0.499984740745262"/>
          <bgColor theme="6" tint="-0.499984740745262"/>
        </patternFill>
      </fill>
    </dxf>
    <dxf>
      <fill>
        <patternFill>
          <bgColor theme="6" tint="0.79998168889431442"/>
        </patternFill>
      </fill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/>
      </border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6" tint="-0.499984740745262"/>
          <bgColor theme="6" tint="-0.499984740745262"/>
        </patternFill>
      </fill>
    </dxf>
    <dxf>
      <fill>
        <patternFill>
          <bgColor theme="6" tint="0.79998168889431442"/>
        </patternFill>
      </fill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/>
      </border>
    </dxf>
    <dxf>
      <font>
        <b/>
        <color theme="1"/>
      </font>
      <border>
        <top style="double">
          <color auto="1"/>
        </top>
      </border>
    </dxf>
    <dxf>
      <font>
        <color theme="3" tint="-0.24994659260841701"/>
      </font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bottom style="thin">
          <color theme="4" tint="-0.24994659260841701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ill>
        <patternFill>
          <bgColor theme="4" tint="0.79998168889431442"/>
        </patternFill>
      </fill>
      <border diagonalUp="0" diagonalDown="0">
        <left/>
        <right/>
        <top/>
        <bottom style="thin">
          <color theme="4" tint="-0.24994659260841701"/>
        </bottom>
        <vertical/>
        <horizontal/>
      </border>
    </dxf>
    <dxf>
      <font>
        <b/>
        <i val="0"/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color theme="4" tint="-0.499984740745262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6" defaultTableStyle="TableStyleMedium2" defaultPivotStyle="PivotStyleLight16">
    <tableStyle name="Profit and Loss Statement" pivot="0" count="7" xr9:uid="{CAA231D7-A2A8-4BAE-8714-C7E653510665}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</tableStyle>
    <tableStyle name="Table Style 1" pivot="0" count="8" xr9:uid="{494C3429-FB86-4FCB-B82C-42390CC9A075}">
      <tableStyleElement type="wholeTable" dxfId="120"/>
      <tableStyleElement type="headerRow" dxfId="119"/>
      <tableStyleElement type="totalRow" dxfId="118"/>
      <tableStyleElement type="firstRowStripe" dxfId="117"/>
      <tableStyleElement type="secondRowStripe" dxfId="116"/>
      <tableStyleElement type="firstColumnStripe" dxfId="115"/>
      <tableStyleElement type="secondColumnStripe" dxfId="114"/>
      <tableStyleElement type="lastTotalCell" dxfId="113"/>
    </tableStyle>
    <tableStyle name="TableStyleLight12 2" pivot="0" count="3" xr9:uid="{3D145AF1-147A-4C92-80DB-9760EB2FD564}">
      <tableStyleElement type="wholeTable" dxfId="112"/>
      <tableStyleElement type="headerRow" dxfId="111"/>
      <tableStyleElement type="totalRow" dxfId="110"/>
    </tableStyle>
    <tableStyle name="Warehouse Inventory" pivot="0" count="4" xr9:uid="{489AE21D-D4BE-4B8D-AD5E-F89638548483}">
      <tableStyleElement type="wholeTable" dxfId="109"/>
      <tableStyleElement type="headerRow" dxfId="108"/>
      <tableStyleElement type="lastColumn" dxfId="107"/>
      <tableStyleElement type="secondRowStripe" dxfId="106"/>
    </tableStyle>
    <tableStyle name="Warehouse Inventory 2" pivot="0" count="4" xr9:uid="{D632642B-3C4C-4471-BA63-EF9AFB2C499D}">
      <tableStyleElement type="wholeTable" dxfId="105"/>
      <tableStyleElement type="headerRow" dxfId="104"/>
      <tableStyleElement type="lastColumn" dxfId="103"/>
      <tableStyleElement type="secondRowStripe" dxfId="102"/>
    </tableStyle>
    <tableStyle name="Weeky Sales Activity" pivot="0" count="3" xr9:uid="{767B0CB3-479E-4F38-B91D-25494CA4EAE4}">
      <tableStyleElement type="wholeTable" dxfId="101"/>
      <tableStyleElement type="headerRow" dxfId="100"/>
      <tableStyleElement type="totalRow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800">
                <a:solidFill>
                  <a:schemeClr val="bg2">
                    <a:lumMod val="50000"/>
                  </a:schemeClr>
                </a:solidFill>
                <a:latin typeface="+mj-lt"/>
              </a:rPr>
              <a:t>PRODUCT COSTS, PROFIT, AND</a:t>
            </a:r>
            <a:r>
              <a:rPr lang="en-US" sz="1800" baseline="0">
                <a:solidFill>
                  <a:schemeClr val="bg2">
                    <a:lumMod val="50000"/>
                  </a:schemeClr>
                </a:solidFill>
                <a:latin typeface="+mj-lt"/>
              </a:rPr>
              <a:t> </a:t>
            </a:r>
            <a:r>
              <a:rPr lang="en-US" sz="1800">
                <a:solidFill>
                  <a:schemeClr val="bg2">
                    <a:lumMod val="50000"/>
                  </a:schemeClr>
                </a:solidFill>
                <a:latin typeface="+mj-lt"/>
              </a:rPr>
              <a:t>REVENUE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Sales!$O$3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Sales!$N$4:$N$11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Sales!$O$4:$O$11</c:f>
              <c:numCache>
                <c:formatCode>"$"#,##0</c:formatCode>
                <c:ptCount val="8"/>
                <c:pt idx="0">
                  <c:v>1045</c:v>
                </c:pt>
                <c:pt idx="1">
                  <c:v>1165.3150000000001</c:v>
                </c:pt>
                <c:pt idx="2">
                  <c:v>476</c:v>
                </c:pt>
                <c:pt idx="3">
                  <c:v>825</c:v>
                </c:pt>
                <c:pt idx="4">
                  <c:v>480</c:v>
                </c:pt>
                <c:pt idx="5">
                  <c:v>510</c:v>
                </c:pt>
                <c:pt idx="6">
                  <c:v>1784.1999999999998</c:v>
                </c:pt>
                <c:pt idx="7">
                  <c:v>967.99999999999955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4A-4B60-BB44-06C99E0B5666}"/>
            </c:ext>
          </c:extLst>
        </c:ser>
        <c:ser>
          <c:idx val="0"/>
          <c:order val="1"/>
          <c:tx>
            <c:strRef>
              <c:f>Sales!$P$3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Sales!$N$4:$N$11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Sales!$P$4:$P$11</c:f>
              <c:numCache>
                <c:formatCode>"$"#,##0</c:formatCode>
                <c:ptCount val="8"/>
                <c:pt idx="0">
                  <c:v>968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4A-4B60-BB44-06C99E0B56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423445971332"/>
          <c:y val="0.19843857665625272"/>
          <c:w val="0.49896376444583562"/>
          <c:h val="0.59632590531111396"/>
        </c:manualLayout>
      </c:layout>
      <c:pieChart>
        <c:varyColors val="1"/>
        <c:ser>
          <c:idx val="0"/>
          <c:order val="0"/>
          <c:tx>
            <c:strRef>
              <c:f>Sales!$B$14</c:f>
              <c:strCache>
                <c:ptCount val="1"/>
                <c:pt idx="0">
                  <c:v>TOTAL REVENUE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E-44D2-9B5E-E79AB1847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E-44D2-9B5E-E79AB1847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E-44D2-9B5E-E79AB1847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E-44D2-9B5E-E79AB18473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E-44D2-9B5E-E79AB18473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9E-44D2-9B5E-E79AB18473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E-44D2-9B5E-E79AB18473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9E-44D2-9B5E-E79AB1847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Sales!$C$13:$J$13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Sales!$C$14:$J$14</c:f>
              <c:numCache>
                <c:formatCode>"$"#,##0.00</c:formatCode>
                <c:ptCount val="8"/>
                <c:pt idx="0">
                  <c:v>2013</c:v>
                </c:pt>
                <c:pt idx="1">
                  <c:v>2382.38</c:v>
                </c:pt>
                <c:pt idx="2">
                  <c:v>955.5</c:v>
                </c:pt>
                <c:pt idx="3">
                  <c:v>1828.75</c:v>
                </c:pt>
                <c:pt idx="4">
                  <c:v>1131</c:v>
                </c:pt>
                <c:pt idx="5">
                  <c:v>1320</c:v>
                </c:pt>
                <c:pt idx="6">
                  <c:v>2991.45</c:v>
                </c:pt>
                <c:pt idx="7">
                  <c:v>2069.7599999999998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9E-44D2-9B5E-E79AB1847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Sales!$B$4:$B$12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Sales!$K$4:$K$12</c:f>
              <c:numCache>
                <c:formatCode>"$"#,##0.00</c:formatCode>
                <c:ptCount val="9"/>
                <c:pt idx="0">
                  <c:v>968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1-4F90-A091-FCD8F128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"Costs Vs Benefits (Total 5-Year)"</c:f>
          <c:strCache>
            <c:ptCount val="1"/>
            <c:pt idx="0">
              <c:v>Costs Vs Benefits (Total 5-Year)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48361612979613"/>
          <c:y val="0.18483721107365089"/>
          <c:w val="0.65979165867487488"/>
          <c:h val="0.66927315592257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ROI!$T$9</c:f>
              <c:strCache>
                <c:ptCount val="1"/>
                <c:pt idx="0">
                  <c:v>Total (5-Year)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7-4C21-8593-41B32A350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ROI!$S$10:$S$11</c:f>
              <c:strCache>
                <c:ptCount val="2"/>
                <c:pt idx="0">
                  <c:v>Total Costs</c:v>
                </c:pt>
                <c:pt idx="1">
                  <c:v>Total Benefits</c:v>
                </c:pt>
              </c:strCache>
            </c:strRef>
          </c:cat>
          <c:val>
            <c:numRef>
              <c:f>ROI!$T$10:$T$11</c:f>
              <c:numCache>
                <c:formatCode>"$"#,##0</c:formatCode>
                <c:ptCount val="2"/>
                <c:pt idx="0">
                  <c:v>2640703.333333333</c:v>
                </c:pt>
                <c:pt idx="1">
                  <c:v>6419645.1155435573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7-4C21-8593-41B32A350A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0838000"/>
        <c:axId val="420838392"/>
      </c:barChart>
      <c:catAx>
        <c:axId val="42083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838392"/>
        <c:crosses val="autoZero"/>
        <c:auto val="1"/>
        <c:lblAlgn val="ctr"/>
        <c:lblOffset val="100"/>
        <c:noMultiLvlLbl val="0"/>
      </c:catAx>
      <c:valAx>
        <c:axId val="4208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83800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0" orientation="landscape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75924269854079"/>
          <c:y val="0.23321197095261051"/>
          <c:w val="0.53298260155153732"/>
          <c:h val="0.56095253399447509"/>
        </c:manualLayout>
      </c:layout>
      <c:pieChart>
        <c:varyColors val="1"/>
        <c:ser>
          <c:idx val="0"/>
          <c:order val="0"/>
          <c:tx>
            <c:strRef>
              <c:f>ROI!$T$27</c:f>
              <c:strCache>
                <c:ptCount val="1"/>
                <c:pt idx="0">
                  <c:v>Total (5-Year)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C-40FE-8590-CDD6F72057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C-40FE-8590-CDD6F72057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C-40FE-8590-CDD6F7205790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ROI!$S$28:$S$30</c:f>
              <c:strCache>
                <c:ptCount val="3"/>
                <c:pt idx="0">
                  <c:v>Revenue Gains (Margin)</c:v>
                </c:pt>
                <c:pt idx="1">
                  <c:v>Cost Savings</c:v>
                </c:pt>
                <c:pt idx="2">
                  <c:v>Productivity Savings</c:v>
                </c:pt>
              </c:strCache>
            </c:strRef>
          </c:cat>
          <c:val>
            <c:numRef>
              <c:f>ROI!$T$28:$T$30</c:f>
              <c:numCache>
                <c:formatCode>"$"#,##0</c:formatCode>
                <c:ptCount val="3"/>
                <c:pt idx="0">
                  <c:v>2369645.1155435573</c:v>
                </c:pt>
                <c:pt idx="1">
                  <c:v>1800000</c:v>
                </c:pt>
                <c:pt idx="2">
                  <c:v>2250000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C-40FE-8590-CDD6F72057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Investment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58717371587448"/>
          <c:y val="0.26326423482778938"/>
          <c:w val="0.50620540445024242"/>
          <c:h val="0.56818989463051806"/>
        </c:manualLayout>
      </c:layout>
      <c:pieChart>
        <c:varyColors val="1"/>
        <c:ser>
          <c:idx val="0"/>
          <c:order val="0"/>
          <c:tx>
            <c:strRef>
              <c:f>ROI!$T$19</c:f>
              <c:strCache>
                <c:ptCount val="1"/>
                <c:pt idx="0">
                  <c:v>Total (5-Year)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C-40DE-9C82-25D6B6C469C9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C-40DE-9C82-25D6B6C469C9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C-40DE-9C82-25D6B6C469C9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C-40DE-9C82-25D6B6C469C9}"/>
              </c:ext>
            </c:extLst>
          </c:dPt>
          <c:dPt>
            <c:idx val="4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8C-40DE-9C82-25D6B6C469C9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ROI!$S$20:$S$23</c:f>
              <c:strCache>
                <c:ptCount val="4"/>
                <c:pt idx="0">
                  <c:v>Vendor Costs</c:v>
                </c:pt>
                <c:pt idx="1">
                  <c:v>Internal Costs</c:v>
                </c:pt>
                <c:pt idx="2">
                  <c:v>Internal Labor</c:v>
                </c:pt>
                <c:pt idx="3">
                  <c:v>3rd Party Services</c:v>
                </c:pt>
              </c:strCache>
            </c:strRef>
          </c:cat>
          <c:val>
            <c:numRef>
              <c:f>ROI!$T$20:$T$23</c:f>
              <c:numCache>
                <c:formatCode>"$"#,##0</c:formatCode>
                <c:ptCount val="4"/>
                <c:pt idx="0">
                  <c:v>2047320</c:v>
                </c:pt>
                <c:pt idx="1">
                  <c:v>100800</c:v>
                </c:pt>
                <c:pt idx="2">
                  <c:v>390583.33333333331</c:v>
                </c:pt>
                <c:pt idx="3">
                  <c:v>102000.00000000001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C-40DE-9C82-25D6B6C469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Costs, Benefits,</a:t>
            </a:r>
            <a:r>
              <a:rPr lang="en-US" sz="1400" baseline="0"/>
              <a:t> and Payback</a:t>
            </a:r>
            <a:r>
              <a:rPr lang="en-US" sz="1400"/>
              <a:t>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97642726457842"/>
          <c:y val="0.11020137981122416"/>
          <c:w val="0.83330519101778944"/>
          <c:h val="0.681016540023381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ROI!$D$59</c:f>
              <c:strCache>
                <c:ptCount val="1"/>
                <c:pt idx="0">
                  <c:v>Costs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ROI!$D$60:$D$65</c:f>
              <c:numCache>
                <c:formatCode>[$$]#,##0</c:formatCode>
                <c:ptCount val="6"/>
                <c:pt idx="0">
                  <c:v>-1279053.3333333333</c:v>
                </c:pt>
                <c:pt idx="1">
                  <c:v>-272330</c:v>
                </c:pt>
                <c:pt idx="2">
                  <c:v>-272330</c:v>
                </c:pt>
                <c:pt idx="3">
                  <c:v>-272330</c:v>
                </c:pt>
                <c:pt idx="4">
                  <c:v>-272330</c:v>
                </c:pt>
                <c:pt idx="5">
                  <c:v>-272330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5-4B59-9980-A42FB02FB80A}"/>
            </c:ext>
          </c:extLst>
        </c:ser>
        <c:ser>
          <c:idx val="0"/>
          <c:order val="1"/>
          <c:tx>
            <c:strRef>
              <c:f>ROI!$E$59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ROI!$E$60:$E$65</c:f>
              <c:numCache>
                <c:formatCode>[$$]#,##0</c:formatCode>
                <c:ptCount val="6"/>
                <c:pt idx="0">
                  <c:v>0</c:v>
                </c:pt>
                <c:pt idx="1">
                  <c:v>1283929.0231087115</c:v>
                </c:pt>
                <c:pt idx="2">
                  <c:v>1283929.0231087115</c:v>
                </c:pt>
                <c:pt idx="3">
                  <c:v>1283929.0231087115</c:v>
                </c:pt>
                <c:pt idx="4">
                  <c:v>1283929.0231087115</c:v>
                </c:pt>
                <c:pt idx="5">
                  <c:v>1283929.0231087115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5-4B59-9980-A42FB02F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18160"/>
        <c:axId val="353260216"/>
      </c:barChart>
      <c:lineChart>
        <c:grouping val="standard"/>
        <c:varyColors val="0"/>
        <c:ser>
          <c:idx val="1"/>
          <c:order val="2"/>
          <c:tx>
            <c:strRef>
              <c:f>ROI!$F$59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 cmpd="sng" algn="ctr">
              <a:solidFill>
                <a:srgbClr val="4472C4"/>
              </a:solidFill>
              <a:prstDash val="solid"/>
              <a:round/>
            </a:ln>
            <a:effectLst/>
          </c:spPr>
          <c:marker>
            <c:spPr>
              <a:gradFill rotWithShape="1">
                <a:gsLst>
                  <a:gs pos="0">
                    <a:srgbClr val="77A2BB">
                      <a:satMod val="103000"/>
                      <a:lumMod val="102000"/>
                      <a:tint val="94000"/>
                    </a:srgbClr>
                  </a:gs>
                  <a:gs pos="50000">
                    <a:srgbClr val="77A2BB">
                      <a:satMod val="110000"/>
                      <a:lumMod val="100000"/>
                      <a:shade val="100000"/>
                    </a:srgbClr>
                  </a:gs>
                  <a:gs pos="100000">
                    <a:srgbClr val="77A2BB">
                      <a:lumMod val="99000"/>
                      <a:satMod val="120000"/>
                      <a:shade val="78000"/>
                    </a:srgbClr>
                  </a:gs>
                </a:gsLst>
                <a:lin ang="5400000" scaled="0"/>
              </a:gradFill>
              <a:ln w="19050" cap="flat" cmpd="sng" algn="ctr">
                <a:solidFill>
                  <a:sysClr val="windowText" lastClr="000000">
                    <a:lumMod val="50000"/>
                    <a:lumOff val="50000"/>
                  </a:sysClr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ROI!$F$60:$F$65</c:f>
              <c:numCache>
                <c:formatCode>[$$]#,##0</c:formatCode>
                <c:ptCount val="6"/>
                <c:pt idx="0">
                  <c:v>-1279053.3333333333</c:v>
                </c:pt>
                <c:pt idx="1">
                  <c:v>-267454.31022462179</c:v>
                </c:pt>
                <c:pt idx="2">
                  <c:v>744144.71288408968</c:v>
                </c:pt>
                <c:pt idx="3">
                  <c:v>1755743.7359928011</c:v>
                </c:pt>
                <c:pt idx="4">
                  <c:v>2767342.7591015128</c:v>
                </c:pt>
                <c:pt idx="5">
                  <c:v>3778941.7822102243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5-4B59-9980-A42FB02F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18160"/>
        <c:axId val="353260216"/>
      </c:lineChart>
      <c:catAx>
        <c:axId val="35551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260216"/>
        <c:crosses val="autoZero"/>
        <c:auto val="1"/>
        <c:lblAlgn val="ctr"/>
        <c:lblOffset val="100"/>
        <c:noMultiLvlLbl val="0"/>
      </c:catAx>
      <c:valAx>
        <c:axId val="353260216"/>
        <c:scaling>
          <c:orientation val="minMax"/>
        </c:scaling>
        <c:delete val="0"/>
        <c:axPos val="l"/>
        <c:numFmt formatCode="[$$]#,##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518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290525616351158E-3"/>
                <c:y val="0.3865103586617429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76057159521727"/>
          <c:y val="0.14479914094581731"/>
          <c:w val="0.37623540072830192"/>
          <c:h val="7.7674115256064852E-2"/>
        </c:manualLayout>
      </c:layout>
      <c:overlay val="0"/>
      <c:spPr>
        <a:solidFill>
          <a:srgbClr val="FFFFFF">
            <a:alpha val="50196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gradFill flip="none" rotWithShape="1">
      <a:gsLst>
        <a:gs pos="0">
          <a:srgbClr val="77A2BB">
            <a:lumMod val="5000"/>
            <a:lumOff val="95000"/>
          </a:srgbClr>
        </a:gs>
        <a:gs pos="74000">
          <a:srgbClr val="77A2BB">
            <a:lumMod val="45000"/>
            <a:lumOff val="55000"/>
          </a:srgbClr>
        </a:gs>
        <a:gs pos="83000">
          <a:srgbClr val="77A2BB">
            <a:lumMod val="45000"/>
            <a:lumOff val="55000"/>
          </a:srgbClr>
        </a:gs>
        <a:gs pos="100000">
          <a:srgbClr val="77A2BB">
            <a:lumMod val="30000"/>
            <a:lumOff val="70000"/>
          </a:srgbClr>
        </a:gs>
      </a:gsLst>
      <a:lin ang="5400000" scaled="1"/>
      <a:tileRect/>
    </a:gradFill>
    <a:ln w="6350" cap="flat" cmpd="sng" algn="ctr">
      <a:solidFill>
        <a:srgbClr val="77A2BB"/>
      </a:solidFill>
      <a:prstDash val="solid"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70570866141733"/>
          <c:y val="2.9629883221119098E-2"/>
          <c:w val="0.68980561023622045"/>
          <c:h val="0.63981969645098713"/>
        </c:manualLayout>
      </c:layout>
      <c:pieChart>
        <c:varyColors val="1"/>
        <c:ser>
          <c:idx val="0"/>
          <c:order val="0"/>
          <c:tx>
            <c:strRef>
              <c:f>'Sales Dashboard'!$J$5</c:f>
              <c:strCache>
                <c:ptCount val="1"/>
                <c:pt idx="0">
                  <c:v>Q4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A-428E-84A8-80293DB7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A-428E-84A8-80293DB7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A-428E-84A8-80293DB797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A-428E-84A8-80293DB79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'Sales Dashboard'!$B$6:$B$9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'Sales Dashboard'!$J$6:$J$9</c:f>
              <c:numCache>
                <c:formatCode>General</c:formatCode>
                <c:ptCount val="4"/>
                <c:pt idx="0">
                  <c:v>125</c:v>
                </c:pt>
                <c:pt idx="1">
                  <c:v>88</c:v>
                </c:pt>
                <c:pt idx="2">
                  <c:v>99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AA-428E-84A8-80293DB7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347769028871386E-2"/>
          <c:y val="0.70772718627562858"/>
          <c:w val="0.82972112860892377"/>
          <c:h val="0.26328730647799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200" b="1">
                <a:solidFill>
                  <a:schemeClr val="tx1">
                    <a:lumMod val="75000"/>
                    <a:lumOff val="25000"/>
                  </a:schemeClr>
                </a:solidFill>
              </a:rPr>
              <a:t>TOTAL</a:t>
            </a:r>
            <a:r>
              <a:rPr lang="sr-Latn-RS" sz="12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EMPLOYEES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35007004483113041"/>
          <c:y val="0.25159844500343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60525927560601"/>
          <c:y val="2.5031287029914973E-2"/>
          <c:w val="0.49046806649168856"/>
          <c:h val="0.826888535136364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3-4A9F-8555-FF3D98533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03-4A9F-8555-FF3D985333D6}"/>
              </c:ext>
            </c:extLst>
          </c:dPt>
          <c:cat>
            <c:strRef>
              <c:f>'HR Dashboard'!$B$15:$B$16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'HR Dashboard'!$C$15:$C$16</c:f>
              <c:numCache>
                <c:formatCode>General</c:formatCode>
                <c:ptCount val="2"/>
                <c:pt idx="0">
                  <c:v>86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3-4A9F-8555-FF3D9853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2540499811628"/>
          <c:y val="0.17692701078934783"/>
          <c:w val="0.24149165619143881"/>
          <c:h val="8.910629274681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chart" Target="../charts/chart9.xml"/><Relationship Id="rId5" Type="http://schemas.openxmlformats.org/officeDocument/2006/relationships/image" Target="../media/image12.sv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194310</xdr:colOff>
      <xdr:row>2</xdr:row>
      <xdr:rowOff>621030</xdr:rowOff>
    </xdr:from>
    <xdr:ext cx="2222777" cy="1851660"/>
    <xdr:pic>
      <xdr:nvPicPr>
        <xdr:cNvPr id="2" name="Picture 1">
          <a:extLst>
            <a:ext uri="{FF2B5EF4-FFF2-40B4-BE49-F238E27FC236}">
              <a16:creationId xmlns:a16="http://schemas.microsoft.com/office/drawing/2014/main" id="{6441FE30-DD98-4955-9E57-487D07EB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0110" y="1687830"/>
          <a:ext cx="2222777" cy="1851660"/>
        </a:xfrm>
        <a:prstGeom prst="rect">
          <a:avLst/>
        </a:prstGeom>
      </xdr:spPr>
    </xdr:pic>
    <xdr:clientData/>
  </xdr:oneCellAnchor>
  <xdr:twoCellAnchor>
    <xdr:from>
      <xdr:col>4</xdr:col>
      <xdr:colOff>3581400</xdr:colOff>
      <xdr:row>0</xdr:row>
      <xdr:rowOff>137160</xdr:rowOff>
    </xdr:from>
    <xdr:to>
      <xdr:col>6</xdr:col>
      <xdr:colOff>0</xdr:colOff>
      <xdr:row>2</xdr:row>
      <xdr:rowOff>66676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E7F107-87AC-44DF-A23E-31D42BCC5EDC}"/>
            </a:ext>
          </a:extLst>
        </xdr:cNvPr>
        <xdr:cNvSpPr txBox="1"/>
      </xdr:nvSpPr>
      <xdr:spPr>
        <a:xfrm>
          <a:off x="7019925" y="137160"/>
          <a:ext cx="3752850" cy="9963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>
                  <a:lumMod val="50000"/>
                </a:schemeClr>
              </a:solidFill>
            </a:rPr>
            <a:t>Excel-to-Word Document Automation Add-In</a:t>
          </a:r>
        </a:p>
        <a:p>
          <a:r>
            <a:rPr lang="en-US" sz="1100"/>
            <a:t>The Excel-to-Word Document Automation Add-In updates Word and PowerPoint content (text, tables, lists, and charts) based on Excel data, analysis, and calculations.</a:t>
          </a:r>
        </a:p>
      </xdr:txBody>
    </xdr:sp>
    <xdr:clientData/>
  </xdr:twoCellAnchor>
  <xdr:twoCellAnchor>
    <xdr:from>
      <xdr:col>0</xdr:col>
      <xdr:colOff>186690</xdr:colOff>
      <xdr:row>1</xdr:row>
      <xdr:rowOff>30480</xdr:rowOff>
    </xdr:from>
    <xdr:to>
      <xdr:col>4</xdr:col>
      <xdr:colOff>3310890</xdr:colOff>
      <xdr:row>2</xdr:row>
      <xdr:rowOff>923925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C3F8CA-F7DC-EDBF-2E18-8A25AC702C82}"/>
            </a:ext>
          </a:extLst>
        </xdr:cNvPr>
        <xdr:cNvSpPr txBox="1"/>
      </xdr:nvSpPr>
      <xdr:spPr>
        <a:xfrm>
          <a:off x="186690" y="430530"/>
          <a:ext cx="6562725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purpose of this workbook (and the associated Word and PowerPoint templates) is to demonstrate how the </a:t>
          </a:r>
          <a:r>
            <a:rPr lang="en-US" sz="1400" b="1"/>
            <a:t>Excel-to-Word Document Automation Add-In </a:t>
          </a:r>
          <a:r>
            <a:rPr lang="en-US" sz="1400"/>
            <a:t>can update a variety of common financial tables.</a:t>
          </a:r>
        </a:p>
        <a:p>
          <a:r>
            <a:rPr lang="en-US" sz="1200"/>
            <a:t>This</a:t>
          </a:r>
          <a:r>
            <a:rPr lang="en-US" sz="1200" baseline="0"/>
            <a:t> document focuses on financial tables. The add-in can also update other content types. See the add-in and https://analysisplace.com for details.</a:t>
          </a:r>
        </a:p>
        <a:p>
          <a:r>
            <a:rPr lang="en-US" sz="1200">
              <a:hlinkClick xmlns:r="http://schemas.openxmlformats.org/officeDocument/2006/relationships" r:id=""/>
            </a:rPr>
            <a:t>Sample Documents | AnalysisPlace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30</xdr:row>
      <xdr:rowOff>180975</xdr:rowOff>
    </xdr:from>
    <xdr:ext cx="2705478" cy="5410952"/>
    <xdr:pic>
      <xdr:nvPicPr>
        <xdr:cNvPr id="2" name="Picture 1">
          <a:extLst>
            <a:ext uri="{FF2B5EF4-FFF2-40B4-BE49-F238E27FC236}">
              <a16:creationId xmlns:a16="http://schemas.microsoft.com/office/drawing/2014/main" id="{0E81C17F-AA46-4469-A09E-D52C6067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14849475"/>
          <a:ext cx="2705478" cy="54109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5</xdr:col>
      <xdr:colOff>438149</xdr:colOff>
      <xdr:row>59</xdr:row>
      <xdr:rowOff>76200</xdr:rowOff>
    </xdr:from>
    <xdr:to>
      <xdr:col>7</xdr:col>
      <xdr:colOff>361950</xdr:colOff>
      <xdr:row>67</xdr:row>
      <xdr:rowOff>0</xdr:rowOff>
    </xdr:to>
    <xdr:sp macro="" textlink="">
      <xdr:nvSpPr>
        <xdr:cNvPr id="3" name="Speech Bubble:">
          <a:extLst>
            <a:ext uri="{FF2B5EF4-FFF2-40B4-BE49-F238E27FC236}">
              <a16:creationId xmlns:a16="http://schemas.microsoft.com/office/drawing/2014/main" id="{FF8BC97F-18BE-465B-94FB-E1AEBD8EDCF1}"/>
            </a:ext>
          </a:extLst>
        </xdr:cNvPr>
        <xdr:cNvSpPr/>
      </xdr:nvSpPr>
      <xdr:spPr>
        <a:xfrm>
          <a:off x="8543924" y="21497925"/>
          <a:ext cx="3305176" cy="1466850"/>
        </a:xfrm>
        <a:prstGeom prst="wedgeRoundRectCallout">
          <a:avLst>
            <a:gd name="adj1" fmla="val -305335"/>
            <a:gd name="adj2" fmla="val -115088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merge these section title cells; otherwise the 1st 2 columns in Word will be very wide to fit the content.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56</xdr:row>
      <xdr:rowOff>66676</xdr:rowOff>
    </xdr:from>
    <xdr:to>
      <xdr:col>7</xdr:col>
      <xdr:colOff>514350</xdr:colOff>
      <xdr:row>64</xdr:row>
      <xdr:rowOff>9526</xdr:rowOff>
    </xdr:to>
    <xdr:sp macro="" textlink="">
      <xdr:nvSpPr>
        <xdr:cNvPr id="2" name="speech">
          <a:extLst>
            <a:ext uri="{FF2B5EF4-FFF2-40B4-BE49-F238E27FC236}">
              <a16:creationId xmlns:a16="http://schemas.microsoft.com/office/drawing/2014/main" id="{38CC7C7A-33BB-4BBB-8B6D-514336AD5BEA}"/>
            </a:ext>
          </a:extLst>
        </xdr:cNvPr>
        <xdr:cNvSpPr/>
      </xdr:nvSpPr>
      <xdr:spPr>
        <a:xfrm>
          <a:off x="7505699" y="11849101"/>
          <a:ext cx="1704976" cy="1543050"/>
        </a:xfrm>
        <a:prstGeom prst="wedgeRoundRectCallout">
          <a:avLst>
            <a:gd name="adj1" fmla="val -480528"/>
            <a:gd name="adj2" fmla="val 76924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if you hide some rows, they will not appear in Word/PPT if "Include hidden rows &amp; columns" is set to "No". Can be combined with the "Auto-Hide" feature</a:t>
          </a:r>
        </a:p>
      </xdr:txBody>
    </xdr:sp>
    <xdr:clientData/>
  </xdr:twoCellAnchor>
  <xdr:oneCellAnchor>
    <xdr:from>
      <xdr:col>5</xdr:col>
      <xdr:colOff>647700</xdr:colOff>
      <xdr:row>64</xdr:row>
      <xdr:rowOff>57150</xdr:rowOff>
    </xdr:from>
    <xdr:ext cx="2019582" cy="1166021"/>
    <xdr:pic>
      <xdr:nvPicPr>
        <xdr:cNvPr id="3" name="Picture 2">
          <a:extLst>
            <a:ext uri="{FF2B5EF4-FFF2-40B4-BE49-F238E27FC236}">
              <a16:creationId xmlns:a16="http://schemas.microsoft.com/office/drawing/2014/main" id="{E4AE8D32-A7E4-42A4-8DFE-E3444C38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8362950"/>
          <a:ext cx="2019582" cy="11660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5</xdr:col>
      <xdr:colOff>133350</xdr:colOff>
      <xdr:row>39</xdr:row>
      <xdr:rowOff>57150</xdr:rowOff>
    </xdr:from>
    <xdr:to>
      <xdr:col>7</xdr:col>
      <xdr:colOff>657225</xdr:colOff>
      <xdr:row>45</xdr:row>
      <xdr:rowOff>85725</xdr:rowOff>
    </xdr:to>
    <xdr:sp macro="" textlink="">
      <xdr:nvSpPr>
        <xdr:cNvPr id="4" name="Speech Bubble">
          <a:extLst>
            <a:ext uri="{FF2B5EF4-FFF2-40B4-BE49-F238E27FC236}">
              <a16:creationId xmlns:a16="http://schemas.microsoft.com/office/drawing/2014/main" id="{1F28EE02-42A7-4967-B520-B25403ABED3D}"/>
            </a:ext>
          </a:extLst>
        </xdr:cNvPr>
        <xdr:cNvSpPr/>
      </xdr:nvSpPr>
      <xdr:spPr>
        <a:xfrm>
          <a:off x="4251960" y="2240280"/>
          <a:ext cx="1889760" cy="1211580"/>
        </a:xfrm>
        <a:prstGeom prst="wedgeRoundRectCallout">
          <a:avLst>
            <a:gd name="adj1" fmla="val -112133"/>
            <a:gd name="adj2" fmla="val -55474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set to have white background, use Word/PPT default font, and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black text</a:t>
          </a:r>
          <a:endParaRPr lang="en-US" sz="1100" baseline="0"/>
        </a:p>
      </xdr:txBody>
    </xdr:sp>
    <xdr:clientData/>
  </xdr:twoCellAnchor>
  <xdr:oneCellAnchor>
    <xdr:from>
      <xdr:col>5</xdr:col>
      <xdr:colOff>457200</xdr:colOff>
      <xdr:row>44</xdr:row>
      <xdr:rowOff>66675</xdr:rowOff>
    </xdr:from>
    <xdr:ext cx="2034823" cy="1676633"/>
    <xdr:pic>
      <xdr:nvPicPr>
        <xdr:cNvPr id="5" name="Picture 4">
          <a:extLst>
            <a:ext uri="{FF2B5EF4-FFF2-40B4-BE49-F238E27FC236}">
              <a16:creationId xmlns:a16="http://schemas.microsoft.com/office/drawing/2014/main" id="{61F87A20-AFE0-4BD9-84A9-6E23DE5C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4314825"/>
          <a:ext cx="2034823" cy="16766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6</xdr:col>
      <xdr:colOff>123825</xdr:colOff>
      <xdr:row>0</xdr:row>
      <xdr:rowOff>95250</xdr:rowOff>
    </xdr:from>
    <xdr:to>
      <xdr:col>9</xdr:col>
      <xdr:colOff>47625</xdr:colOff>
      <xdr:row>5</xdr:row>
      <xdr:rowOff>76200</xdr:rowOff>
    </xdr:to>
    <xdr:sp macro="" textlink="">
      <xdr:nvSpPr>
        <xdr:cNvPr id="6" name="Speech Bubble">
          <a:extLst>
            <a:ext uri="{FF2B5EF4-FFF2-40B4-BE49-F238E27FC236}">
              <a16:creationId xmlns:a16="http://schemas.microsoft.com/office/drawing/2014/main" id="{4DBA7CFB-C2E1-EC6E-4DA2-1BE3DF86AD26}"/>
            </a:ext>
          </a:extLst>
        </xdr:cNvPr>
        <xdr:cNvSpPr/>
      </xdr:nvSpPr>
      <xdr:spPr>
        <a:xfrm>
          <a:off x="7639050" y="95250"/>
          <a:ext cx="1752600" cy="1219200"/>
        </a:xfrm>
        <a:prstGeom prst="wedgeRoundRectCallout">
          <a:avLst>
            <a:gd name="adj1" fmla="val -91481"/>
            <a:gd name="adj2" fmla="val 2655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set to look the same in Word/PPT as it does here</a:t>
          </a:r>
        </a:p>
      </xdr:txBody>
    </xdr:sp>
    <xdr:clientData/>
  </xdr:twoCellAnchor>
  <xdr:twoCellAnchor>
    <xdr:from>
      <xdr:col>5</xdr:col>
      <xdr:colOff>552449</xdr:colOff>
      <xdr:row>101</xdr:row>
      <xdr:rowOff>19049</xdr:rowOff>
    </xdr:from>
    <xdr:to>
      <xdr:col>8</xdr:col>
      <xdr:colOff>371475</xdr:colOff>
      <xdr:row>105</xdr:row>
      <xdr:rowOff>0</xdr:rowOff>
    </xdr:to>
    <xdr:sp macro="" textlink="">
      <xdr:nvSpPr>
        <xdr:cNvPr id="7" name="speech">
          <a:extLst>
            <a:ext uri="{FF2B5EF4-FFF2-40B4-BE49-F238E27FC236}">
              <a16:creationId xmlns:a16="http://schemas.microsoft.com/office/drawing/2014/main" id="{B554213A-85BA-D8AD-AAA8-49FAFAC39E57}"/>
            </a:ext>
          </a:extLst>
        </xdr:cNvPr>
        <xdr:cNvSpPr/>
      </xdr:nvSpPr>
      <xdr:spPr>
        <a:xfrm>
          <a:off x="7972424" y="20764499"/>
          <a:ext cx="1704976" cy="800101"/>
        </a:xfrm>
        <a:prstGeom prst="wedgeRoundRectCallout">
          <a:avLst>
            <a:gd name="adj1" fmla="val -64327"/>
            <a:gd name="adj2" fmla="val 23309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size set to 8 px to fit on Word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209550</xdr:rowOff>
    </xdr:from>
    <xdr:to>
      <xdr:col>10</xdr:col>
      <xdr:colOff>85725</xdr:colOff>
      <xdr:row>8</xdr:row>
      <xdr:rowOff>95250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16B9ECF3-E90B-4F1B-88F2-7F79F5528522}"/>
            </a:ext>
          </a:extLst>
        </xdr:cNvPr>
        <xdr:cNvSpPr/>
      </xdr:nvSpPr>
      <xdr:spPr>
        <a:xfrm>
          <a:off x="6734175" y="800100"/>
          <a:ext cx="1752600" cy="1219200"/>
        </a:xfrm>
        <a:prstGeom prst="wedgeRoundRectCallout">
          <a:avLst>
            <a:gd name="adj1" fmla="val -91481"/>
            <a:gd name="adj2" fmla="val 2655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and table scaled up 150%.</a:t>
          </a:r>
        </a:p>
        <a:p>
          <a:pPr algn="l"/>
          <a:r>
            <a:rPr lang="en-US" sz="1100" baseline="0"/>
            <a:t>Cell margins added to improve appearance in the destination.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16</xdr:row>
      <xdr:rowOff>847726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B8EC6-C3CA-4466-BC3A-F2084E11A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9294ED-B1A9-4E01-ABCF-41A2D340E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81A823-E525-4684-9AAF-399BDBF75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123824</xdr:rowOff>
    </xdr:from>
    <xdr:to>
      <xdr:col>13</xdr:col>
      <xdr:colOff>495300</xdr:colOff>
      <xdr:row>3</xdr:row>
      <xdr:rowOff>38099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A9D47DA2-937A-4F97-9086-D0BB7EAF22C4}"/>
            </a:ext>
          </a:extLst>
        </xdr:cNvPr>
        <xdr:cNvSpPr/>
      </xdr:nvSpPr>
      <xdr:spPr>
        <a:xfrm>
          <a:off x="7210425" y="123824"/>
          <a:ext cx="1543050" cy="695325"/>
        </a:xfrm>
        <a:prstGeom prst="wedgeRoundRectCallout">
          <a:avLst>
            <a:gd name="adj1" fmla="val -23099"/>
            <a:gd name="adj2" fmla="val 64299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Size set to 7px in Item Properties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22</xdr:row>
      <xdr:rowOff>85725</xdr:rowOff>
    </xdr:from>
    <xdr:to>
      <xdr:col>11</xdr:col>
      <xdr:colOff>247984</xdr:colOff>
      <xdr:row>32</xdr:row>
      <xdr:rowOff>257561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96AB4-01F9-66D0-A8FF-548593708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0550" y="4638675"/>
          <a:ext cx="2391109" cy="276263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1000125</xdr:colOff>
      <xdr:row>19</xdr:row>
      <xdr:rowOff>95250</xdr:rowOff>
    </xdr:from>
    <xdr:to>
      <xdr:col>4</xdr:col>
      <xdr:colOff>28575</xdr:colOff>
      <xdr:row>22</xdr:row>
      <xdr:rowOff>123826</xdr:rowOff>
    </xdr:to>
    <xdr:sp macro="" textlink="">
      <xdr:nvSpPr>
        <xdr:cNvPr id="3" name="Speech Bubble">
          <a:extLst>
            <a:ext uri="{FF2B5EF4-FFF2-40B4-BE49-F238E27FC236}">
              <a16:creationId xmlns:a16="http://schemas.microsoft.com/office/drawing/2014/main" id="{0772836E-EBB1-4394-BE77-8AA34B4A2078}"/>
            </a:ext>
          </a:extLst>
        </xdr:cNvPr>
        <xdr:cNvSpPr/>
      </xdr:nvSpPr>
      <xdr:spPr>
        <a:xfrm>
          <a:off x="1257300" y="4076700"/>
          <a:ext cx="2838450" cy="600076"/>
        </a:xfrm>
        <a:prstGeom prst="wedgeRoundRectCallout">
          <a:avLst>
            <a:gd name="adj1" fmla="val -91803"/>
            <a:gd name="adj2" fmla="val -224825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Hidden Rows not transferred if "Include hidden rows &amp; columns" is set to 'No'."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714373</xdr:colOff>
      <xdr:row>13</xdr:row>
      <xdr:rowOff>133351</xdr:rowOff>
    </xdr:from>
    <xdr:to>
      <xdr:col>12</xdr:col>
      <xdr:colOff>47624</xdr:colOff>
      <xdr:row>19</xdr:row>
      <xdr:rowOff>133350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52D902BD-70BD-4CD9-B870-272CEF216D5B}"/>
            </a:ext>
          </a:extLst>
        </xdr:cNvPr>
        <xdr:cNvSpPr/>
      </xdr:nvSpPr>
      <xdr:spPr>
        <a:xfrm>
          <a:off x="7496173" y="2876551"/>
          <a:ext cx="2971801" cy="1142999"/>
        </a:xfrm>
        <a:prstGeom prst="wedgeRoundRectCallout">
          <a:avLst>
            <a:gd name="adj1" fmla="val -158266"/>
            <a:gd name="adj2" fmla="val -108666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destination-formatted</a:t>
          </a:r>
        </a:p>
        <a:p>
          <a:pPr algn="l"/>
          <a:r>
            <a:rPr lang="en-US" sz="1100" baseline="0"/>
            <a:t>In the actual model, the text is created dynamically (using formulas) based on the solution configuration.</a:t>
          </a:r>
        </a:p>
      </xdr:txBody>
    </xdr:sp>
    <xdr:clientData/>
  </xdr:twoCellAnchor>
  <xdr:twoCellAnchor>
    <xdr:from>
      <xdr:col>3</xdr:col>
      <xdr:colOff>885823</xdr:colOff>
      <xdr:row>17</xdr:row>
      <xdr:rowOff>76202</xdr:rowOff>
    </xdr:from>
    <xdr:to>
      <xdr:col>6</xdr:col>
      <xdr:colOff>723899</xdr:colOff>
      <xdr:row>20</xdr:row>
      <xdr:rowOff>28575</xdr:rowOff>
    </xdr:to>
    <xdr:sp macro="" textlink="">
      <xdr:nvSpPr>
        <xdr:cNvPr id="3" name="Speech Bubble">
          <a:extLst>
            <a:ext uri="{FF2B5EF4-FFF2-40B4-BE49-F238E27FC236}">
              <a16:creationId xmlns:a16="http://schemas.microsoft.com/office/drawing/2014/main" id="{E31414A9-CD95-2998-A5E1-77AAF9DCF7C7}"/>
            </a:ext>
          </a:extLst>
        </xdr:cNvPr>
        <xdr:cNvSpPr/>
      </xdr:nvSpPr>
      <xdr:spPr>
        <a:xfrm>
          <a:off x="4048123" y="3581402"/>
          <a:ext cx="2552701" cy="523873"/>
        </a:xfrm>
        <a:prstGeom prst="wedgeRoundRectCallout">
          <a:avLst>
            <a:gd name="adj1" fmla="val -80801"/>
            <a:gd name="adj2" fmla="val -3285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Obtain the TEXT() format from Ribbon &gt; Number &gt; Custom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6</xdr:row>
      <xdr:rowOff>371476</xdr:rowOff>
    </xdr:from>
    <xdr:to>
      <xdr:col>11</xdr:col>
      <xdr:colOff>457200</xdr:colOff>
      <xdr:row>18</xdr:row>
      <xdr:rowOff>95250</xdr:rowOff>
    </xdr:to>
    <xdr:graphicFrame macro="">
      <xdr:nvGraphicFramePr>
        <xdr:cNvPr id="2" name="rpt_CostsVsBenefitsChart">
          <a:extLst>
            <a:ext uri="{FF2B5EF4-FFF2-40B4-BE49-F238E27FC236}">
              <a16:creationId xmlns:a16="http://schemas.microsoft.com/office/drawing/2014/main" id="{2CC3DC53-00A6-434D-87BC-C4D7EFA4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6</xdr:col>
      <xdr:colOff>381000</xdr:colOff>
      <xdr:row>18</xdr:row>
      <xdr:rowOff>171449</xdr:rowOff>
    </xdr:from>
    <xdr:to>
      <xdr:col>11</xdr:col>
      <xdr:colOff>447675</xdr:colOff>
      <xdr:row>32</xdr:row>
      <xdr:rowOff>209549</xdr:rowOff>
    </xdr:to>
    <xdr:graphicFrame macro="">
      <xdr:nvGraphicFramePr>
        <xdr:cNvPr id="3" name="rpt_BenefitsSumChart">
          <a:extLst>
            <a:ext uri="{FF2B5EF4-FFF2-40B4-BE49-F238E27FC236}">
              <a16:creationId xmlns:a16="http://schemas.microsoft.com/office/drawing/2014/main" id="{DEF7777D-896F-4807-943C-D77B747C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11</xdr:col>
      <xdr:colOff>504824</xdr:colOff>
      <xdr:row>18</xdr:row>
      <xdr:rowOff>180975</xdr:rowOff>
    </xdr:from>
    <xdr:to>
      <xdr:col>17</xdr:col>
      <xdr:colOff>514350</xdr:colOff>
      <xdr:row>32</xdr:row>
      <xdr:rowOff>219075</xdr:rowOff>
    </xdr:to>
    <xdr:graphicFrame macro="">
      <xdr:nvGraphicFramePr>
        <xdr:cNvPr id="4" name="rpt_CostsSumChart">
          <a:extLst>
            <a:ext uri="{FF2B5EF4-FFF2-40B4-BE49-F238E27FC236}">
              <a16:creationId xmlns:a16="http://schemas.microsoft.com/office/drawing/2014/main" id="{2E0638B4-493C-4639-AB4F-7E8AEA41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</xdr:col>
      <xdr:colOff>38101</xdr:colOff>
      <xdr:row>33</xdr:row>
      <xdr:rowOff>142876</xdr:rowOff>
    </xdr:from>
    <xdr:to>
      <xdr:col>8</xdr:col>
      <xdr:colOff>447676</xdr:colOff>
      <xdr:row>56</xdr:row>
      <xdr:rowOff>9526</xdr:rowOff>
    </xdr:to>
    <xdr:graphicFrame macro="">
      <xdr:nvGraphicFramePr>
        <xdr:cNvPr id="5" name="CashFlowCh">
          <a:extLst>
            <a:ext uri="{FF2B5EF4-FFF2-40B4-BE49-F238E27FC236}">
              <a16:creationId xmlns:a16="http://schemas.microsoft.com/office/drawing/2014/main" id="{B3299B72-7325-48F1-83C4-5253A5FB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152400</xdr:colOff>
      <xdr:row>34</xdr:row>
      <xdr:rowOff>66674</xdr:rowOff>
    </xdr:from>
    <xdr:to>
      <xdr:col>13</xdr:col>
      <xdr:colOff>76200</xdr:colOff>
      <xdr:row>41</xdr:row>
      <xdr:rowOff>133349</xdr:rowOff>
    </xdr:to>
    <xdr:sp macro="" textlink="">
      <xdr:nvSpPr>
        <xdr:cNvPr id="8" name="Speech Bubble">
          <a:extLst>
            <a:ext uri="{FF2B5EF4-FFF2-40B4-BE49-F238E27FC236}">
              <a16:creationId xmlns:a16="http://schemas.microsoft.com/office/drawing/2014/main" id="{E2C1CBE0-AA2B-42E8-9E6F-7B46066AF191}"/>
            </a:ext>
          </a:extLst>
        </xdr:cNvPr>
        <xdr:cNvSpPr/>
      </xdr:nvSpPr>
      <xdr:spPr>
        <a:xfrm>
          <a:off x="8334375" y="8381999"/>
          <a:ext cx="1752600" cy="1400175"/>
        </a:xfrm>
        <a:prstGeom prst="wedgeRoundRectCallout">
          <a:avLst>
            <a:gd name="adj1" fmla="val -107242"/>
            <a:gd name="adj2" fmla="val -26568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chart was pasted in Word and PPT with destination format (not as picture), then linked to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r_CostBenChartData</a:t>
          </a:r>
          <a:r>
            <a:rPr lang="en-US"/>
            <a:t>  (4 columns)</a:t>
          </a:r>
          <a:endParaRPr lang="en-US" sz="1100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133350</xdr:rowOff>
    </xdr:from>
    <xdr:to>
      <xdr:col>17</xdr:col>
      <xdr:colOff>428625</xdr:colOff>
      <xdr:row>13</xdr:row>
      <xdr:rowOff>28575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7260AA9E-C028-4402-A830-EF098747DEA9}"/>
            </a:ext>
          </a:extLst>
        </xdr:cNvPr>
        <xdr:cNvSpPr/>
      </xdr:nvSpPr>
      <xdr:spPr>
        <a:xfrm>
          <a:off x="9020175" y="133350"/>
          <a:ext cx="1971675" cy="2847975"/>
        </a:xfrm>
        <a:prstGeom prst="wedgeRoundRectCallout">
          <a:avLst>
            <a:gd name="adj1" fmla="val -201202"/>
            <a:gd name="adj2" fmla="val -2290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"Auto-hide" could be used to automatically hide unused columns (Comps 4,5...) based on a formula/logic.</a:t>
          </a:r>
        </a:p>
        <a:p>
          <a:pPr algn="l"/>
          <a:r>
            <a:rPr lang="en-US" sz="1100" baseline="0"/>
            <a:t>Ensure item property "</a:t>
          </a:r>
          <a:r>
            <a:rPr lang="en-US"/>
            <a:t>Include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hidden rows &amp; columns" is 'No'.</a:t>
          </a:r>
        </a:p>
        <a:p>
          <a:pPr algn="l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show all columns, select False, then click "Auto-Hide Rows/Columns" on the Submit tab.</a:t>
          </a:r>
          <a:endParaRPr lang="en-US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104775</xdr:rowOff>
    </xdr:from>
    <xdr:to>
      <xdr:col>14</xdr:col>
      <xdr:colOff>91440</xdr:colOff>
      <xdr:row>23</xdr:row>
      <xdr:rowOff>66675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CDBFAD85-6AF4-436F-B724-C1D7CB1E6AAE}"/>
            </a:ext>
          </a:extLst>
        </xdr:cNvPr>
        <xdr:cNvSpPr/>
      </xdr:nvSpPr>
      <xdr:spPr>
        <a:xfrm>
          <a:off x="4712970" y="3221355"/>
          <a:ext cx="4872990" cy="1485900"/>
        </a:xfrm>
        <a:prstGeom prst="wedgeRoundRectCallout">
          <a:avLst>
            <a:gd name="adj1" fmla="val -28266"/>
            <a:gd name="adj2" fmla="val -68666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Flex table has these properties set: 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Table Width: 100% of page (in Word)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Font Size set to 9px to fit across page and avoid wrapping in last cell.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Adjusted margins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Background color set to light gray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Font set to black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40</xdr:row>
      <xdr:rowOff>95250</xdr:rowOff>
    </xdr:from>
    <xdr:ext cx="2743583" cy="2377775"/>
    <xdr:pic>
      <xdr:nvPicPr>
        <xdr:cNvPr id="2" name="Picture 1">
          <a:extLst>
            <a:ext uri="{FF2B5EF4-FFF2-40B4-BE49-F238E27FC236}">
              <a16:creationId xmlns:a16="http://schemas.microsoft.com/office/drawing/2014/main" id="{2F6C960E-5A7E-4E91-8C25-3184772D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8221980"/>
          <a:ext cx="2743583" cy="2377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9</xdr:col>
      <xdr:colOff>438150</xdr:colOff>
      <xdr:row>12</xdr:row>
      <xdr:rowOff>47625</xdr:rowOff>
    </xdr:from>
    <xdr:ext cx="2896004" cy="4709818"/>
    <xdr:pic>
      <xdr:nvPicPr>
        <xdr:cNvPr id="3" name="Picture 2">
          <a:extLst>
            <a:ext uri="{FF2B5EF4-FFF2-40B4-BE49-F238E27FC236}">
              <a16:creationId xmlns:a16="http://schemas.microsoft.com/office/drawing/2014/main" id="{7C76B6D5-90BE-4CA4-B9FD-256623B7C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4160" y="2621280"/>
          <a:ext cx="2896004" cy="47098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6</xdr:col>
      <xdr:colOff>342900</xdr:colOff>
      <xdr:row>10</xdr:row>
      <xdr:rowOff>133351</xdr:rowOff>
    </xdr:from>
    <xdr:to>
      <xdr:col>9</xdr:col>
      <xdr:colOff>219075</xdr:colOff>
      <xdr:row>16</xdr:row>
      <xdr:rowOff>19051</xdr:rowOff>
    </xdr:to>
    <xdr:sp macro="" textlink="">
      <xdr:nvSpPr>
        <xdr:cNvPr id="4" name="Corners Rounded 4">
          <a:extLst>
            <a:ext uri="{FF2B5EF4-FFF2-40B4-BE49-F238E27FC236}">
              <a16:creationId xmlns:a16="http://schemas.microsoft.com/office/drawing/2014/main" id="{4CE88955-742C-4060-BE2D-58ED86311E3D}"/>
            </a:ext>
          </a:extLst>
        </xdr:cNvPr>
        <xdr:cNvSpPr/>
      </xdr:nvSpPr>
      <xdr:spPr>
        <a:xfrm>
          <a:off x="4457700" y="2316481"/>
          <a:ext cx="1935480" cy="1074420"/>
        </a:xfrm>
        <a:prstGeom prst="wedgeRoundRectCallout">
          <a:avLst>
            <a:gd name="adj1" fmla="val -188614"/>
            <a:gd name="adj2" fmla="val -28130"/>
            <a:gd name="adj3" fmla="val 16667"/>
          </a:avLst>
        </a:prstGeom>
        <a:solidFill>
          <a:schemeClr val="bg1">
            <a:lumMod val="95000"/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to hide the 'Row Labels' (top-left cell): Options &gt; Display &gt; uncheck 'Display field captions and filter drop downs'.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42</xdr:row>
      <xdr:rowOff>47625</xdr:rowOff>
    </xdr:from>
    <xdr:to>
      <xdr:col>13</xdr:col>
      <xdr:colOff>114300</xdr:colOff>
      <xdr:row>44</xdr:row>
      <xdr:rowOff>171450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5241159A-629C-4A24-AB59-A2FC83B7F8DA}"/>
            </a:ext>
          </a:extLst>
        </xdr:cNvPr>
        <xdr:cNvSpPr/>
      </xdr:nvSpPr>
      <xdr:spPr>
        <a:xfrm>
          <a:off x="7010400" y="8366760"/>
          <a:ext cx="2019300" cy="525780"/>
        </a:xfrm>
        <a:prstGeom prst="wedgeRoundRectCallout">
          <a:avLst>
            <a:gd name="adj1" fmla="val -39150"/>
            <a:gd name="adj2" fmla="val -23423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Range name is 'HideRow_SheetA'</a:t>
          </a:r>
        </a:p>
      </xdr:txBody>
    </xdr:sp>
    <xdr:clientData/>
  </xdr:twoCellAnchor>
  <xdr:twoCellAnchor>
    <xdr:from>
      <xdr:col>8</xdr:col>
      <xdr:colOff>200025</xdr:colOff>
      <xdr:row>46</xdr:row>
      <xdr:rowOff>57150</xdr:rowOff>
    </xdr:from>
    <xdr:to>
      <xdr:col>11</xdr:col>
      <xdr:colOff>438150</xdr:colOff>
      <xdr:row>48</xdr:row>
      <xdr:rowOff>171450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BA1C7303-853B-42E7-8EEA-0F55B406E883}"/>
            </a:ext>
          </a:extLst>
        </xdr:cNvPr>
        <xdr:cNvSpPr/>
      </xdr:nvSpPr>
      <xdr:spPr>
        <a:xfrm>
          <a:off x="5684520" y="9174480"/>
          <a:ext cx="2301240" cy="510540"/>
        </a:xfrm>
        <a:prstGeom prst="wedgeRoundRectCallout">
          <a:avLst>
            <a:gd name="adj1" fmla="val -80283"/>
            <a:gd name="adj2" fmla="val -27461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Range name is 'HideCol_SheetA'</a:t>
          </a:r>
        </a:p>
      </xdr:txBody>
    </xdr:sp>
    <xdr:clientData/>
  </xdr:twoCellAnchor>
  <xdr:oneCellAnchor>
    <xdr:from>
      <xdr:col>15</xdr:col>
      <xdr:colOff>457200</xdr:colOff>
      <xdr:row>2</xdr:row>
      <xdr:rowOff>95250</xdr:rowOff>
    </xdr:from>
    <xdr:ext cx="2934109" cy="3970574"/>
    <xdr:pic>
      <xdr:nvPicPr>
        <xdr:cNvPr id="4" name="Picture 3">
          <a:extLst>
            <a:ext uri="{FF2B5EF4-FFF2-40B4-BE49-F238E27FC236}">
              <a16:creationId xmlns:a16="http://schemas.microsoft.com/office/drawing/2014/main" id="{3CA99744-52F1-4FE0-8CAA-CE81674C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95300"/>
          <a:ext cx="2934109" cy="397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5</xdr:row>
      <xdr:rowOff>1</xdr:rowOff>
    </xdr:from>
    <xdr:to>
      <xdr:col>4</xdr:col>
      <xdr:colOff>1247776</xdr:colOff>
      <xdr:row>9</xdr:row>
      <xdr:rowOff>247651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DA079-439D-472E-B0BD-987044535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423578</xdr:colOff>
      <xdr:row>2</xdr:row>
      <xdr:rowOff>304052</xdr:rowOff>
    </xdr:from>
    <xdr:to>
      <xdr:col>3</xdr:col>
      <xdr:colOff>106007</xdr:colOff>
      <xdr:row>4</xdr:row>
      <xdr:rowOff>191171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5AF95FE-A2AD-4705-88FF-15E7ED6FAD4B}"/>
            </a:ext>
          </a:extLst>
        </xdr:cNvPr>
        <xdr:cNvGrpSpPr/>
      </xdr:nvGrpSpPr>
      <xdr:grpSpPr>
        <a:xfrm>
          <a:off x="623603" y="894602"/>
          <a:ext cx="1111179" cy="1144419"/>
          <a:chOff x="2967990" y="228600"/>
          <a:chExt cx="1152000" cy="115200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0C3CFB6-FD34-5C39-879B-7503BFF7B583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111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2BD8F04-823A-73FD-8F35-F2BC1F7C280E}"/>
              </a:ext>
            </a:extLst>
          </xdr:cNvPr>
          <xdr:cNvSpPr txBox="1"/>
        </xdr:nvSpPr>
        <xdr:spPr>
          <a:xfrm>
            <a:off x="3170610" y="23430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AVERAGE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AGE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0">
        <xdr:nvSpPr>
          <xdr:cNvPr id="5" name="TextBox 4">
            <a:extLst>
              <a:ext uri="{FF2B5EF4-FFF2-40B4-BE49-F238E27FC236}">
                <a16:creationId xmlns:a16="http://schemas.microsoft.com/office/drawing/2014/main" id="{2CF18D95-5698-63B0-7413-C6D776887BF2}"/>
              </a:ext>
            </a:extLst>
          </xdr:cNvPr>
          <xdr:cNvSpPr txBox="1"/>
        </xdr:nvSpPr>
        <xdr:spPr>
          <a:xfrm>
            <a:off x="3002970" y="592441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85D7848B-47CC-41C7-AB21-56CFF7E46F96}" type="TxLink">
              <a:rPr lang="en-US" sz="3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42</a:t>
            </a:fld>
            <a:endParaRPr lang="en-US" sz="3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1B4FD9E-0D6B-4F05-8302-1563592C39BF}"/>
              </a:ext>
            </a:extLst>
          </xdr:cNvPr>
          <xdr:cNvSpPr txBox="1"/>
        </xdr:nvSpPr>
        <xdr:spPr>
          <a:xfrm>
            <a:off x="3294435" y="1042021"/>
            <a:ext cx="49911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YEARS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9</xdr:col>
      <xdr:colOff>487697</xdr:colOff>
      <xdr:row>2</xdr:row>
      <xdr:rowOff>277586</xdr:rowOff>
    </xdr:from>
    <xdr:to>
      <xdr:col>11</xdr:col>
      <xdr:colOff>420497</xdr:colOff>
      <xdr:row>4</xdr:row>
      <xdr:rowOff>164666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7111172-558F-4310-A4A4-D30BC749AD92}"/>
            </a:ext>
          </a:extLst>
        </xdr:cNvPr>
        <xdr:cNvGrpSpPr/>
      </xdr:nvGrpSpPr>
      <xdr:grpSpPr>
        <a:xfrm>
          <a:off x="5774072" y="868136"/>
          <a:ext cx="1152000" cy="1144380"/>
          <a:chOff x="6090630" y="0"/>
          <a:chExt cx="1152000" cy="1152000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D99BC3-C814-6AD7-3A55-92AB135BE0FC}"/>
              </a:ext>
            </a:extLst>
          </xdr:cNvPr>
          <xdr:cNvSpPr/>
        </xdr:nvSpPr>
        <xdr:spPr>
          <a:xfrm>
            <a:off x="6090630" y="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23B5A35-7610-E5B4-D0CD-3AFB56EDA203}"/>
              </a:ext>
            </a:extLst>
          </xdr:cNvPr>
          <xdr:cNvSpPr txBox="1"/>
        </xdr:nvSpPr>
        <xdr:spPr>
          <a:xfrm>
            <a:off x="6293250" y="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EMPLOYED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&gt;3</a:t>
            </a:r>
            <a:r>
              <a:rPr lang="sr-Latn-RS" sz="16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years</a:t>
            </a:r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1">
        <xdr:nvSpPr>
          <xdr:cNvPr id="10" name="Over3">
            <a:extLst>
              <a:ext uri="{FF2B5EF4-FFF2-40B4-BE49-F238E27FC236}">
                <a16:creationId xmlns:a16="http://schemas.microsoft.com/office/drawing/2014/main" id="{8283E08D-65CC-D124-4FE7-CCABFD9675DA}"/>
              </a:ext>
            </a:extLst>
          </xdr:cNvPr>
          <xdr:cNvSpPr txBox="1"/>
        </xdr:nvSpPr>
        <xdr:spPr>
          <a:xfrm>
            <a:off x="6125610" y="35814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marL="0" indent="0" algn="ctr"/>
            <a:fld id="{2CA94D54-7236-473D-9D71-CECEBD50EFA1}" type="TxLink">
              <a:rPr lang="en-US" sz="3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marL="0" indent="0" algn="ctr"/>
              <a:t>111</a:t>
            </a:fld>
            <a:endParaRPr lang="en-US" sz="3600" b="1" i="0" u="none" strike="noStrike">
              <a:solidFill>
                <a:schemeClr val="accent2">
                  <a:lumMod val="75000"/>
                </a:schemeClr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553BAA1-935E-7A3F-6ED0-0E9DC002C3E4}"/>
              </a:ext>
            </a:extLst>
          </xdr:cNvPr>
          <xdr:cNvSpPr txBox="1"/>
        </xdr:nvSpPr>
        <xdr:spPr>
          <a:xfrm>
            <a:off x="6232291" y="807720"/>
            <a:ext cx="868679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EMPLOYEES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3</xdr:col>
      <xdr:colOff>193085</xdr:colOff>
      <xdr:row>2</xdr:row>
      <xdr:rowOff>296471</xdr:rowOff>
    </xdr:from>
    <xdr:to>
      <xdr:col>5</xdr:col>
      <xdr:colOff>125885</xdr:colOff>
      <xdr:row>4</xdr:row>
      <xdr:rowOff>191171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EC3DB4E-5012-408D-B09F-0CC3A7FFFCBA}"/>
            </a:ext>
          </a:extLst>
        </xdr:cNvPr>
        <xdr:cNvGrpSpPr/>
      </xdr:nvGrpSpPr>
      <xdr:grpSpPr>
        <a:xfrm>
          <a:off x="1821860" y="887021"/>
          <a:ext cx="1152000" cy="1152000"/>
          <a:chOff x="2967990" y="220980"/>
          <a:chExt cx="1152000" cy="1159620"/>
        </a:xfrm>
      </xdr:grpSpPr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355F60F7-DB64-0E35-DCDF-4788361C9975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325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EC66C82-F25C-3B03-330A-458EEACA31EC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F58F7C"/>
                </a:solidFill>
              </a:rPr>
              <a:t>FEMALE</a:t>
            </a:r>
            <a:endParaRPr lang="en-US" sz="2000" b="1">
              <a:solidFill>
                <a:srgbClr val="F58F7C"/>
              </a:solidFill>
            </a:endParaRPr>
          </a:p>
        </xdr:txBody>
      </xdr:sp>
      <xdr:sp macro="" textlink="$C$16">
        <xdr:nvSpPr>
          <xdr:cNvPr id="15" name="TextBox 14">
            <a:extLst>
              <a:ext uri="{FF2B5EF4-FFF2-40B4-BE49-F238E27FC236}">
                <a16:creationId xmlns:a16="http://schemas.microsoft.com/office/drawing/2014/main" id="{3E377D7E-B294-87CC-58EC-F35BF151B779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9B173658-1B18-45C0-8B26-8BF08F2E771F}" type="TxLink">
              <a:rPr lang="en-US" sz="36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103</a:t>
            </a:fld>
            <a:endParaRPr lang="en-US" sz="3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>
    <xdr:from>
      <xdr:col>4</xdr:col>
      <xdr:colOff>551509</xdr:colOff>
      <xdr:row>2</xdr:row>
      <xdr:rowOff>104335</xdr:rowOff>
    </xdr:from>
    <xdr:to>
      <xdr:col>5</xdr:col>
      <xdr:colOff>178777</xdr:colOff>
      <xdr:row>3</xdr:row>
      <xdr:rowOff>134815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A9FDC71-C317-4F99-BD0C-FB8762BEE6CA}"/>
            </a:ext>
          </a:extLst>
        </xdr:cNvPr>
        <xdr:cNvGrpSpPr/>
      </xdr:nvGrpSpPr>
      <xdr:grpSpPr>
        <a:xfrm>
          <a:off x="2789884" y="694885"/>
          <a:ext cx="236868" cy="659130"/>
          <a:chOff x="2198369" y="1202267"/>
          <a:chExt cx="730946" cy="2057400"/>
        </a:xfrm>
        <a:solidFill>
          <a:srgbClr val="F58F7C"/>
        </a:solidFill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B60AE68C-03E2-A2F0-6B16-0A72F37294A2}"/>
              </a:ext>
            </a:extLst>
          </xdr:cNvPr>
          <xdr:cNvGrpSpPr/>
        </xdr:nvGrpSpPr>
        <xdr:grpSpPr>
          <a:xfrm>
            <a:off x="2198369" y="1202267"/>
            <a:ext cx="730946" cy="2057400"/>
            <a:chOff x="1025538" y="1202267"/>
            <a:chExt cx="730946" cy="2057400"/>
          </a:xfrm>
          <a:grpFill/>
        </xdr:grpSpPr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9CC47735-2062-B140-108E-B248AF9D963D}"/>
                </a:ext>
              </a:extLst>
            </xdr:cNvPr>
            <xdr:cNvSpPr/>
          </xdr:nvSpPr>
          <xdr:spPr>
            <a:xfrm>
              <a:off x="1158240" y="1202267"/>
              <a:ext cx="457200" cy="46736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0" name="Rectangle: Rounded Corners 19">
              <a:extLst>
                <a:ext uri="{FF2B5EF4-FFF2-40B4-BE49-F238E27FC236}">
                  <a16:creationId xmlns:a16="http://schemas.microsoft.com/office/drawing/2014/main" id="{73EEFD4F-F853-29EC-AFD9-867140E7C49D}"/>
                </a:ext>
              </a:extLst>
            </xdr:cNvPr>
            <xdr:cNvSpPr/>
          </xdr:nvSpPr>
          <xdr:spPr>
            <a:xfrm>
              <a:off x="1179195" y="1708785"/>
              <a:ext cx="431165" cy="824865"/>
            </a:xfrm>
            <a:prstGeom prst="round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38907339-A762-3D74-C6EB-11651D29E15E}"/>
                </a:ext>
              </a:extLst>
            </xdr:cNvPr>
            <xdr:cNvSpPr/>
          </xdr:nvSpPr>
          <xdr:spPr>
            <a:xfrm rot="1478489">
              <a:off x="1025538" y="1691655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" name="Rectangle: Rounded Corners 21">
              <a:extLst>
                <a:ext uri="{FF2B5EF4-FFF2-40B4-BE49-F238E27FC236}">
                  <a16:creationId xmlns:a16="http://schemas.microsoft.com/office/drawing/2014/main" id="{0A4E0F7A-1CF2-3190-7B26-C581CCF6FC59}"/>
                </a:ext>
              </a:extLst>
            </xdr:cNvPr>
            <xdr:cNvSpPr/>
          </xdr:nvSpPr>
          <xdr:spPr>
            <a:xfrm rot="20121511" flipH="1">
              <a:off x="1576997" y="1684827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Rectangle: Rounded Corners 22">
              <a:extLst>
                <a:ext uri="{FF2B5EF4-FFF2-40B4-BE49-F238E27FC236}">
                  <a16:creationId xmlns:a16="http://schemas.microsoft.com/office/drawing/2014/main" id="{7BDEC3C4-1744-EE31-EF5E-074BFD7B3D15}"/>
                </a:ext>
              </a:extLst>
            </xdr:cNvPr>
            <xdr:cNvSpPr/>
          </xdr:nvSpPr>
          <xdr:spPr>
            <a:xfrm flipH="1">
              <a:off x="117618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" name="Rectangle: Rounded Corners 23">
              <a:extLst>
                <a:ext uri="{FF2B5EF4-FFF2-40B4-BE49-F238E27FC236}">
                  <a16:creationId xmlns:a16="http://schemas.microsoft.com/office/drawing/2014/main" id="{22B8A62E-0484-96DE-E765-E19A5C50F030}"/>
                </a:ext>
              </a:extLst>
            </xdr:cNvPr>
            <xdr:cNvSpPr/>
          </xdr:nvSpPr>
          <xdr:spPr>
            <a:xfrm flipH="1">
              <a:off x="143114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660A4E6D-6D97-A11F-6AB4-90B73D65FBD8}"/>
              </a:ext>
            </a:extLst>
          </xdr:cNvPr>
          <xdr:cNvSpPr/>
        </xdr:nvSpPr>
        <xdr:spPr>
          <a:xfrm>
            <a:off x="2203797" y="1708783"/>
            <a:ext cx="720090" cy="1216344"/>
          </a:xfrm>
          <a:custGeom>
            <a:avLst/>
            <a:gdLst>
              <a:gd name="connsiteX0" fmla="*/ 273269 w 720090"/>
              <a:gd name="connsiteY0" fmla="*/ 0 h 1216344"/>
              <a:gd name="connsiteX1" fmla="*/ 448598 w 720090"/>
              <a:gd name="connsiteY1" fmla="*/ 0 h 1216344"/>
              <a:gd name="connsiteX2" fmla="*/ 720090 w 720090"/>
              <a:gd name="connsiteY2" fmla="*/ 1216344 h 1216344"/>
              <a:gd name="connsiteX3" fmla="*/ 0 w 720090"/>
              <a:gd name="connsiteY3" fmla="*/ 1216344 h 12163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0090" h="1216344">
                <a:moveTo>
                  <a:pt x="273269" y="0"/>
                </a:moveTo>
                <a:lnTo>
                  <a:pt x="448598" y="0"/>
                </a:lnTo>
                <a:lnTo>
                  <a:pt x="720090" y="1216344"/>
                </a:lnTo>
                <a:lnTo>
                  <a:pt x="0" y="1216344"/>
                </a:lnTo>
                <a:close/>
              </a:path>
            </a:pathLst>
          </a:cu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451502</xdr:colOff>
      <xdr:row>2</xdr:row>
      <xdr:rowOff>269966</xdr:rowOff>
    </xdr:from>
    <xdr:to>
      <xdr:col>9</xdr:col>
      <xdr:colOff>384302</xdr:colOff>
      <xdr:row>4</xdr:row>
      <xdr:rowOff>164666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3FE8F7F-CBC8-4D91-B70B-FB210ECCCC37}"/>
            </a:ext>
          </a:extLst>
        </xdr:cNvPr>
        <xdr:cNvGrpSpPr/>
      </xdr:nvGrpSpPr>
      <xdr:grpSpPr>
        <a:xfrm>
          <a:off x="4518677" y="860516"/>
          <a:ext cx="1152000" cy="1152000"/>
          <a:chOff x="2967990" y="220980"/>
          <a:chExt cx="1152000" cy="1159620"/>
        </a:xfrm>
      </xdr:grpSpPr>
      <xdr:sp macro=""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1D27F5F1-FC90-CC5F-BB43-4C6754677C5C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722C2633-7211-3341-1068-179014F51A1D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4F4F51"/>
                </a:solidFill>
              </a:rPr>
              <a:t>MALE</a:t>
            </a:r>
            <a:endParaRPr lang="en-US" sz="2000" b="1">
              <a:solidFill>
                <a:srgbClr val="4F4F51"/>
              </a:solidFill>
            </a:endParaRPr>
          </a:p>
        </xdr:txBody>
      </xdr:sp>
      <xdr:sp macro="" textlink="$C$15">
        <xdr:nvSpPr>
          <xdr:cNvPr id="28" name="TextBox 27">
            <a:extLst>
              <a:ext uri="{FF2B5EF4-FFF2-40B4-BE49-F238E27FC236}">
                <a16:creationId xmlns:a16="http://schemas.microsoft.com/office/drawing/2014/main" id="{28FB82BB-9C44-265C-3F39-6FFD3D674EA7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7E2276F4-B696-4EE5-B825-ABE931CE0DB8}" type="TxLink">
              <a:rPr lang="en-US" sz="36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86</a:t>
            </a:fld>
            <a:endParaRPr lang="en-US" sz="3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7</xdr:col>
      <xdr:colOff>435773</xdr:colOff>
      <xdr:row>2</xdr:row>
      <xdr:rowOff>112379</xdr:rowOff>
    </xdr:from>
    <xdr:to>
      <xdr:col>8</xdr:col>
      <xdr:colOff>54430</xdr:colOff>
      <xdr:row>3</xdr:row>
      <xdr:rowOff>86637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9DE21ECA-E391-462A-9B55-9E9BE5C62BD4}"/>
            </a:ext>
          </a:extLst>
        </xdr:cNvPr>
        <xdr:cNvGrpSpPr/>
      </xdr:nvGrpSpPr>
      <xdr:grpSpPr>
        <a:xfrm>
          <a:off x="4502948" y="702929"/>
          <a:ext cx="228257" cy="602908"/>
          <a:chOff x="1025538" y="1202267"/>
          <a:chExt cx="730946" cy="2057400"/>
        </a:xfrm>
        <a:solidFill>
          <a:srgbClr val="4F4F51"/>
        </a:solidFill>
      </xdr:grpSpPr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6898C8E8-79DE-2859-52C0-4C07F833AA4B}"/>
              </a:ext>
            </a:extLst>
          </xdr:cNvPr>
          <xdr:cNvSpPr/>
        </xdr:nvSpPr>
        <xdr:spPr>
          <a:xfrm>
            <a:off x="1158240" y="1202267"/>
            <a:ext cx="457200" cy="46736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7" name="Rectangle: Rounded Corners 36">
            <a:extLst>
              <a:ext uri="{FF2B5EF4-FFF2-40B4-BE49-F238E27FC236}">
                <a16:creationId xmlns:a16="http://schemas.microsoft.com/office/drawing/2014/main" id="{1A558693-E765-C12C-F440-1A7B0FE30B6B}"/>
              </a:ext>
            </a:extLst>
          </xdr:cNvPr>
          <xdr:cNvSpPr/>
        </xdr:nvSpPr>
        <xdr:spPr>
          <a:xfrm>
            <a:off x="1179195" y="1708785"/>
            <a:ext cx="431165" cy="824865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8" name="Rectangle: Rounded Corners 37">
            <a:extLst>
              <a:ext uri="{FF2B5EF4-FFF2-40B4-BE49-F238E27FC236}">
                <a16:creationId xmlns:a16="http://schemas.microsoft.com/office/drawing/2014/main" id="{842CA0EA-D842-3613-8FF1-A47EFD96632E}"/>
              </a:ext>
            </a:extLst>
          </xdr:cNvPr>
          <xdr:cNvSpPr/>
        </xdr:nvSpPr>
        <xdr:spPr>
          <a:xfrm rot="1478489">
            <a:off x="1025538" y="1691655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9" name="Rectangle: Rounded Corners 38">
            <a:extLst>
              <a:ext uri="{FF2B5EF4-FFF2-40B4-BE49-F238E27FC236}">
                <a16:creationId xmlns:a16="http://schemas.microsoft.com/office/drawing/2014/main" id="{5FF06C61-EB77-3B36-E68C-6D78EE94587A}"/>
              </a:ext>
            </a:extLst>
          </xdr:cNvPr>
          <xdr:cNvSpPr/>
        </xdr:nvSpPr>
        <xdr:spPr>
          <a:xfrm rot="20121511" flipH="1">
            <a:off x="1576997" y="1684827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0" name="Rectangle: Rounded Corners 39">
            <a:extLst>
              <a:ext uri="{FF2B5EF4-FFF2-40B4-BE49-F238E27FC236}">
                <a16:creationId xmlns:a16="http://schemas.microsoft.com/office/drawing/2014/main" id="{2C56B346-CF84-758C-DA2E-003B8E7CE469}"/>
              </a:ext>
            </a:extLst>
          </xdr:cNvPr>
          <xdr:cNvSpPr/>
        </xdr:nvSpPr>
        <xdr:spPr>
          <a:xfrm flipH="1">
            <a:off x="117999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1" name="Rectangle: Rounded Corners 40">
            <a:extLst>
              <a:ext uri="{FF2B5EF4-FFF2-40B4-BE49-F238E27FC236}">
                <a16:creationId xmlns:a16="http://schemas.microsoft.com/office/drawing/2014/main" id="{D44DA26B-EA1B-EB77-52A6-0D1AD6B082B5}"/>
              </a:ext>
            </a:extLst>
          </xdr:cNvPr>
          <xdr:cNvSpPr/>
        </xdr:nvSpPr>
        <xdr:spPr>
          <a:xfrm flipH="1">
            <a:off x="143114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110331</xdr:colOff>
      <xdr:row>2</xdr:row>
      <xdr:rowOff>261226</xdr:rowOff>
    </xdr:from>
    <xdr:to>
      <xdr:col>9</xdr:col>
      <xdr:colOff>553676</xdr:colOff>
      <xdr:row>6</xdr:row>
      <xdr:rowOff>158741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7518794B-E218-4997-8F7C-1DDC8B25DDE3}"/>
            </a:ext>
          </a:extLst>
        </xdr:cNvPr>
        <xdr:cNvGrpSpPr/>
      </xdr:nvGrpSpPr>
      <xdr:grpSpPr>
        <a:xfrm>
          <a:off x="1739106" y="851776"/>
          <a:ext cx="4100945" cy="2412115"/>
          <a:chOff x="1407622" y="1598084"/>
          <a:chExt cx="4100945" cy="2427355"/>
        </a:xfrm>
      </xdr:grpSpPr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0FD7EB34-68BD-5477-9B4F-3DFC2DB3D2C7}"/>
              </a:ext>
            </a:extLst>
          </xdr:cNvPr>
          <xdr:cNvSpPr/>
        </xdr:nvSpPr>
        <xdr:spPr>
          <a:xfrm>
            <a:off x="2378094" y="1598084"/>
            <a:ext cx="2160000" cy="2160000"/>
          </a:xfrm>
          <a:prstGeom prst="ellipse">
            <a:avLst/>
          </a:prstGeom>
          <a:solidFill>
            <a:schemeClr val="bg1">
              <a:alpha val="61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483333C-CE1B-7DE1-4D9D-9CE20666CC39}"/>
              </a:ext>
            </a:extLst>
          </xdr:cNvPr>
          <xdr:cNvGrpSpPr/>
        </xdr:nvGrpSpPr>
        <xdr:grpSpPr>
          <a:xfrm>
            <a:off x="1407622" y="1620289"/>
            <a:ext cx="4100945" cy="2405150"/>
            <a:chOff x="1209502" y="184958"/>
            <a:chExt cx="4100945" cy="2405150"/>
          </a:xfrm>
          <a:noFill/>
        </xdr:grpSpPr>
        <xdr:graphicFrame macro="">
          <xdr:nvGraphicFramePr>
            <xdr:cNvPr id="45" name="Chart 44">
              <a:extLst>
                <a:ext uri="{FF2B5EF4-FFF2-40B4-BE49-F238E27FC236}">
                  <a16:creationId xmlns:a16="http://schemas.microsoft.com/office/drawing/2014/main" id="{344A0B5D-4835-8767-BC4D-6D63BFD1955F}"/>
                </a:ext>
              </a:extLst>
            </xdr:cNvPr>
            <xdr:cNvGraphicFramePr>
              <a:graphicFrameLocks/>
            </xdr:cNvGraphicFramePr>
          </xdr:nvGraphicFramePr>
          <xdr:xfrm>
            <a:off x="1209502" y="184958"/>
            <a:ext cx="4100945" cy="2405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$E$17">
          <xdr:nvSpPr>
            <xdr:cNvPr id="46" name="TextBox 45">
              <a:extLst>
                <a:ext uri="{FF2B5EF4-FFF2-40B4-BE49-F238E27FC236}">
                  <a16:creationId xmlns:a16="http://schemas.microsoft.com/office/drawing/2014/main" id="{FB5448B5-5293-E4AC-6BF9-216BD98FD7C6}"/>
                </a:ext>
              </a:extLst>
            </xdr:cNvPr>
            <xdr:cNvSpPr txBox="1"/>
          </xdr:nvSpPr>
          <xdr:spPr>
            <a:xfrm>
              <a:off x="2718954" y="937260"/>
              <a:ext cx="1082040" cy="58674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algn="ctr"/>
              <a:fld id="{E7A7A1A9-C9E3-4E1D-917B-8078A47FADD0}" type="TxLink">
                <a:rPr lang="en-US" sz="36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algn="ctr"/>
                <a:t>189</a:t>
              </a:fld>
              <a:endParaRPr lang="en-US" sz="36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$F$19">
          <xdr:nvSpPr>
            <xdr:cNvPr id="47" name="TextBox 46">
              <a:extLst>
                <a:ext uri="{FF2B5EF4-FFF2-40B4-BE49-F238E27FC236}">
                  <a16:creationId xmlns:a16="http://schemas.microsoft.com/office/drawing/2014/main" id="{4928F335-50FA-E874-D6B8-2608C4C61AF4}"/>
                </a:ext>
              </a:extLst>
            </xdr:cNvPr>
            <xdr:cNvSpPr txBox="1"/>
          </xdr:nvSpPr>
          <xdr:spPr>
            <a:xfrm>
              <a:off x="2928504" y="1406415"/>
              <a:ext cx="662940" cy="25146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marL="0" indent="0" algn="ctr"/>
              <a:fld id="{C0EC7BF5-B4D2-4E58-B477-68C32A7A148E}" type="TxLink">
                <a:rPr lang="en-US" sz="1400" b="1" i="0" u="none" strike="noStrike">
                  <a:solidFill>
                    <a:schemeClr val="accent2">
                      <a:lumMod val="75000"/>
                    </a:schemeClr>
                  </a:solidFill>
                  <a:latin typeface="Calibri"/>
                  <a:ea typeface="Calibri"/>
                  <a:cs typeface="Calibri"/>
                </a:rPr>
                <a:pPr marL="0" indent="0" algn="ctr"/>
                <a:t>+6.2%</a:t>
              </a:fld>
              <a:endParaRPr lang="en-US" sz="14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AA3EFC8B-16D1-8DD8-BC59-D013595EF5FC}"/>
                </a:ext>
              </a:extLst>
            </xdr:cNvPr>
            <xdr:cNvSpPr txBox="1"/>
          </xdr:nvSpPr>
          <xdr:spPr>
            <a:xfrm>
              <a:off x="2657994" y="1546860"/>
              <a:ext cx="1203960" cy="3048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 anchorCtr="0"/>
            <a:lstStyle/>
            <a:p>
              <a:pPr algn="ctr"/>
              <a:r>
                <a:rPr lang="sr-Latn-RS" sz="110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VS</a:t>
              </a:r>
              <a:r>
                <a:rPr lang="sr-Latn-RS" sz="1100" b="1" baseline="0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 6 months ago</a:t>
              </a:r>
              <a:endParaRPr lang="en-US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724061</xdr:colOff>
      <xdr:row>4</xdr:row>
      <xdr:rowOff>296091</xdr:rowOff>
    </xdr:from>
    <xdr:to>
      <xdr:col>5</xdr:col>
      <xdr:colOff>220172</xdr:colOff>
      <xdr:row>6</xdr:row>
      <xdr:rowOff>434589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3AE1709B-EA8B-43CA-92D0-444E503BA5E1}"/>
            </a:ext>
          </a:extLst>
        </xdr:cNvPr>
        <xdr:cNvGrpSpPr/>
      </xdr:nvGrpSpPr>
      <xdr:grpSpPr>
        <a:xfrm>
          <a:off x="924086" y="2143941"/>
          <a:ext cx="2144061" cy="1395798"/>
          <a:chOff x="724061" y="1569079"/>
          <a:chExt cx="2185523" cy="1411486"/>
        </a:xfrm>
      </xdr:grpSpPr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B653402F-D557-4EC1-396C-C38F69A84D6D}"/>
              </a:ext>
            </a:extLst>
          </xdr:cNvPr>
          <xdr:cNvSpPr txBox="1"/>
        </xdr:nvSpPr>
        <xdr:spPr>
          <a:xfrm>
            <a:off x="1312250" y="1632986"/>
            <a:ext cx="1597334" cy="379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HIRED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2">
        <xdr:nvSpPr>
          <xdr:cNvPr id="81" name="TextBox 80">
            <a:extLst>
              <a:ext uri="{FF2B5EF4-FFF2-40B4-BE49-F238E27FC236}">
                <a16:creationId xmlns:a16="http://schemas.microsoft.com/office/drawing/2014/main" id="{1034EFCA-583E-B1C2-67F8-96772F5144F3}"/>
              </a:ext>
            </a:extLst>
          </xdr:cNvPr>
          <xdr:cNvSpPr txBox="1"/>
        </xdr:nvSpPr>
        <xdr:spPr>
          <a:xfrm>
            <a:off x="1510210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FF69FAD7-951C-4256-9C2F-7586CF3065B3}" type="TxLink">
              <a:rPr lang="en-US" sz="6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24</a:t>
            </a:fld>
            <a:endParaRPr lang="en-US" sz="6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pic>
        <xdr:nvPicPr>
          <xdr:cNvPr id="82" name="Graphic 81">
            <a:extLst>
              <a:ext uri="{FF2B5EF4-FFF2-40B4-BE49-F238E27FC236}">
                <a16:creationId xmlns:a16="http://schemas.microsoft.com/office/drawing/2014/main" id="{0683746E-A06E-58FE-F5CB-56688551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24061" y="1569079"/>
            <a:ext cx="793664" cy="1324421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450704</xdr:colOff>
      <xdr:row>4</xdr:row>
      <xdr:rowOff>259976</xdr:rowOff>
    </xdr:from>
    <xdr:to>
      <xdr:col>11</xdr:col>
      <xdr:colOff>188667</xdr:colOff>
      <xdr:row>6</xdr:row>
      <xdr:rowOff>434589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8108A3BB-8F56-4A8F-9859-07F6C1F8658E}"/>
            </a:ext>
          </a:extLst>
        </xdr:cNvPr>
        <xdr:cNvGrpSpPr/>
      </xdr:nvGrpSpPr>
      <xdr:grpSpPr>
        <a:xfrm>
          <a:off x="4517879" y="2107826"/>
          <a:ext cx="2176363" cy="1431913"/>
          <a:chOff x="4359316" y="1532964"/>
          <a:chExt cx="2176363" cy="1447601"/>
        </a:xfrm>
      </xdr:grpSpPr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F2FC20B5-DC61-4EAF-DB0B-8C669F47B806}"/>
              </a:ext>
            </a:extLst>
          </xdr:cNvPr>
          <xdr:cNvSpPr txBox="1"/>
        </xdr:nvSpPr>
        <xdr:spPr>
          <a:xfrm>
            <a:off x="4359316" y="1650915"/>
            <a:ext cx="1596887" cy="399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LEFT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3">
        <xdr:nvSpPr>
          <xdr:cNvPr id="85" name="TextBox 84">
            <a:extLst>
              <a:ext uri="{FF2B5EF4-FFF2-40B4-BE49-F238E27FC236}">
                <a16:creationId xmlns:a16="http://schemas.microsoft.com/office/drawing/2014/main" id="{17A574CA-1069-242D-7196-B94FEF754859}"/>
              </a:ext>
            </a:extLst>
          </xdr:cNvPr>
          <xdr:cNvSpPr txBox="1"/>
        </xdr:nvSpPr>
        <xdr:spPr>
          <a:xfrm>
            <a:off x="4573133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DF32512C-5C4C-4D85-8790-962374DF73CC}" type="TxLink">
              <a:rPr lang="en-US" sz="6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13</a:t>
            </a:fld>
            <a:endParaRPr lang="en-US" sz="6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pic>
        <xdr:nvPicPr>
          <xdr:cNvPr id="86" name="Graphic 85">
            <a:extLst>
              <a:ext uri="{FF2B5EF4-FFF2-40B4-BE49-F238E27FC236}">
                <a16:creationId xmlns:a16="http://schemas.microsoft.com/office/drawing/2014/main" id="{25D31587-C948-8874-86F8-6DB157737E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907739" y="1532964"/>
            <a:ext cx="627940" cy="1324800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Hall" refreshedDate="45687.594657407404" createdVersion="8" refreshedVersion="8" minRefreshableVersion="3" recordCount="16" xr:uid="{BDB7B821-75C5-47A7-84D5-D5F07C855B0A}">
  <cacheSource type="worksheet">
    <worksheetSource name="PivotData"/>
  </cacheSource>
  <cacheFields count="5">
    <cacheField name="Year" numFmtId="0">
      <sharedItems containsSemiMixedTypes="0" containsString="0" containsNumber="1" containsInteger="1" minValue="2015" maxValue="2017" count="3">
        <n v="2017"/>
        <n v="2015"/>
        <n v="2016"/>
      </sharedItems>
    </cacheField>
    <cacheField name="Category" numFmtId="0">
      <sharedItems count="4">
        <s v="Components"/>
        <s v="Clothing"/>
        <s v="Bikes"/>
        <s v="Accessories"/>
      </sharedItems>
    </cacheField>
    <cacheField name="Product" numFmtId="0">
      <sharedItems/>
    </cacheField>
    <cacheField name="Sales" numFmtId="165">
      <sharedItems containsSemiMixedTypes="0" containsString="0" containsNumber="1" containsInteger="1" minValue="600" maxValue="36000"/>
    </cacheField>
    <cacheField name="Rating" numFmtId="9">
      <sharedItems containsSemiMixedTypes="0" containsString="0" containsNumber="1" minValue="0.0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s v="Chains"/>
    <n v="20000"/>
    <n v="0.75"/>
  </r>
  <r>
    <x v="1"/>
    <x v="1"/>
    <s v="Socks"/>
    <n v="3700"/>
    <n v="0.22"/>
  </r>
  <r>
    <x v="0"/>
    <x v="1"/>
    <s v="Bib-Shorts"/>
    <n v="4000"/>
    <n v="0.22"/>
  </r>
  <r>
    <x v="1"/>
    <x v="1"/>
    <s v="Shorts"/>
    <n v="13300"/>
    <n v="0.56000000000000005"/>
  </r>
  <r>
    <x v="0"/>
    <x v="1"/>
    <s v="Tights"/>
    <n v="36000"/>
    <n v="1"/>
  </r>
  <r>
    <x v="1"/>
    <x v="0"/>
    <s v="Handlebars"/>
    <n v="2300"/>
    <n v="0.35"/>
  </r>
  <r>
    <x v="2"/>
    <x v="1"/>
    <s v="Socks"/>
    <n v="2300"/>
    <n v="0.28000000000000003"/>
  </r>
  <r>
    <x v="2"/>
    <x v="0"/>
    <s v="Brakes"/>
    <n v="3100"/>
    <n v="0.36"/>
  </r>
  <r>
    <x v="2"/>
    <x v="2"/>
    <s v="Mountain Bikes"/>
    <n v="6300"/>
    <n v="0.4"/>
  </r>
  <r>
    <x v="0"/>
    <x v="0"/>
    <s v="Brakes"/>
    <n v="5100"/>
    <n v="0.38"/>
  </r>
  <r>
    <x v="2"/>
    <x v="3"/>
    <s v="Helmets"/>
    <n v="17000"/>
    <n v="0.9"/>
  </r>
  <r>
    <x v="2"/>
    <x v="3"/>
    <s v="Lights"/>
    <n v="21000"/>
    <n v="0.9"/>
  </r>
  <r>
    <x v="2"/>
    <x v="3"/>
    <s v="Locks"/>
    <n v="29800"/>
    <n v="0.9"/>
  </r>
  <r>
    <x v="2"/>
    <x v="0"/>
    <s v="Botttom Brackets"/>
    <n v="1000"/>
    <n v="0.23"/>
  </r>
  <r>
    <x v="1"/>
    <x v="1"/>
    <s v="Jerseys"/>
    <n v="6700"/>
    <n v="0.05"/>
  </r>
  <r>
    <x v="0"/>
    <x v="0"/>
    <s v="Botttom Brackets"/>
    <n v="600"/>
    <n v="0.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CB7C8-5F58-4A66-8DCD-E969AF8EC045}" name="r_PivotDest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B24:F30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DD79D-37D0-4660-ACA4-6BC05B11941F}" name="r_PivotImage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outline="1" outlineData="1" multipleFieldFilters="0">
  <location ref="B40:F46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854FE-4839-4EB1-BF33-7BD96908305C}" name="r_PivotFlex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B12:F18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formats count="26"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B3DD59-D10A-4608-9510-3808D75D1CB1}" name="PricingForInvoice" displayName="PricingForInvoice" ref="B29:C39" totalsRowShown="0">
  <autoFilter ref="B29:C39" xr:uid="{A2B3DD59-D10A-4608-9510-3808D75D1CB1}"/>
  <tableColumns count="2">
    <tableColumn id="1" xr3:uid="{C6068479-EC62-4AA0-8B64-58722D822686}" name="Product"/>
    <tableColumn id="2" xr3:uid="{E1FCC3F3-9A96-464F-911B-27FAC9B820B5}" name="Price" dataDxfId="98">
      <calculatedColumnFormula>C29+500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93B805-DAB8-4DE0-8D3F-A83C6E936F04}" name="r_SalesTracking" displayName="r_SalesTracking" ref="B3:K11" totalsRowShown="0" headerRowDxfId="97" dataDxfId="95" headerRowBorderDxfId="96" tableBorderDxfId="94" totalsRowBorderDxfId="93">
  <autoFilter ref="B3:K11" xr:uid="{00000000-0009-0000-0100-000001000000}"/>
  <tableColumns count="10">
    <tableColumn id="1" xr3:uid="{C21B56A3-28D8-434C-B605-51C476431F9E}" name="PRODUCT NAME" dataDxfId="92"/>
    <tableColumn id="3" xr3:uid="{6E79A116-45E9-4F16-BBF2-0318CA5B4C67}" name="COST PER ITEM" dataDxfId="91"/>
    <tableColumn id="4" xr3:uid="{0EA7767D-D526-4A0B-9DA5-2E546DB018C8}" name="MARKUP PERCENTAGE" dataDxfId="90"/>
    <tableColumn id="5" xr3:uid="{F0923EA0-BDF4-478F-B7A9-BF11FC4F31B3}" name="TOTAL SOLD" dataDxfId="89"/>
    <tableColumn id="6" xr3:uid="{3FC1DFBB-E3D3-4277-BAF6-CD4C5CBCF8B0}" name="TOTAL REVENUE" dataDxfId="88">
      <calculatedColumnFormula>IFERROR(r_SalesTracking[[#This Row],[TOTAL SOLD]]*r_SalesTracking[[#This Row],[COST PER ITEM]]*(1+r_SalesTracking[[#This Row],[MARKUP PERCENTAGE]]),0)</calculatedColumnFormula>
    </tableColumn>
    <tableColumn id="7" xr3:uid="{679935A0-D3CC-4B67-BC83-3FA2794CEF1F}" name="SHIPPING CHARGE PER ITEM" dataDxfId="87"/>
    <tableColumn id="8" xr3:uid="{8C02831B-FBE6-463F-92DB-8478CB37F8DC}" name="SHIPPING COST PER ITEM" dataDxfId="86"/>
    <tableColumn id="9" xr3:uid="{E26DB6AF-AA66-4E0B-AFEB-DCAF59307ECE}" name="PROFIT PER ITEM" dataDxfId="85">
      <calculatedColumnFormula>IFERROR(r_SalesTracking[[#This Row],[COST PER ITEM]]*r_SalesTracking[[#This Row],[MARKUP PERCENTAGE]]+r_SalesTracking[[#This Row],[SHIPPING CHARGE PER ITEM]]-r_SalesTracking[[#This Row],[SHIPPING COST PER ITEM]],0)</calculatedColumnFormula>
    </tableColumn>
    <tableColumn id="10" xr3:uid="{2D89E68F-CDE4-48F0-9B96-667F416C0D6C}" name="RETURNS" dataDxfId="84"/>
    <tableColumn id="11" xr3:uid="{6DA69425-9B3B-44CF-BF24-75ED48C8C0A9}" name="TOTAL INCOME" dataDxfId="83">
      <calculatedColumnFormula>IFERROR((r_SalesTracking[[#This Row],[TOTAL SOLD]]-r_SalesTracking[[#This Row],[RETURNS]])*r_SalesTracking[[#This Row],[PROFIT PER ITEM]]+(r_SalesTracking[[#This Row],[RETURNS]]*r_SalesTracking[[#This Row],[SHIPPING COST PER ITEM]]),0)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A41910-1467-408D-A66F-ABFF279E9A7B}" name="r_RevProfitForChart" displayName="r_RevProfitForChart" ref="N3:P11" totalsRowShown="0" headerRowDxfId="82">
  <autoFilter ref="N3:P11" xr:uid="{99A41910-1467-408D-A66F-ABFF279E9A7B}"/>
  <tableColumns count="3">
    <tableColumn id="1" xr3:uid="{CFD44855-96D9-4935-9BB7-C78A0EABF81C}" name="PRODUCT NAME">
      <calculatedColumnFormula>r_SalesTracking[[#This Row],[PRODUCT NAME]]</calculatedColumnFormula>
    </tableColumn>
    <tableColumn id="2" xr3:uid="{32572154-8EBB-4433-B5EF-B3DC9BA43F74}" name="COST" dataDxfId="81">
      <calculatedColumnFormula>r_SalesTracking[[#This Row],[TOTAL REVENUE]]-r_SalesTracking[[#This Row],[TOTAL INCOME]]</calculatedColumnFormula>
    </tableColumn>
    <tableColumn id="3" xr3:uid="{412D3841-C4ED-412A-ADDF-073A51A8894A}" name="PROFIT" dataDxfId="80">
      <calculatedColumnFormula>r_SalesTracking[[#This Row],[TOTAL INCOME]]</calculatedColumnFormula>
    </tableColumn>
  </tableColumns>
  <tableStyleInfo name="Profit and Loss Statemen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2E437B-D71F-47CE-9FFF-4ED435FB4800}" name="r_SalesReport" displayName="r_SalesReport" ref="B62:K70" totalsRowCount="1" headerRowDxfId="79" dataDxfId="78" totalsRowDxfId="77" headerRowCellStyle="Table Headers" totalsRowCellStyle="Table Totals">
  <tableColumns count="10">
    <tableColumn id="1" xr3:uid="{F1A1E923-EEB6-4D76-88B8-BBE170619FE6}" name="DAYS" totalsRowLabel="Totals" dataDxfId="76" totalsRowDxfId="75" dataCellStyle="Table Totals" totalsRowCellStyle="Table Totals"/>
    <tableColumn id="2" xr3:uid="{72C9F0C5-C74D-4B7C-8DEA-84A87C0624DD}" name="IN SALES OFFICE" totalsRowFunction="sum" dataDxfId="74" totalsRowDxfId="73"/>
    <tableColumn id="3" xr3:uid="{1FD298B6-6286-45B5-ADD5-176C10EFED07}" name="OUTSIDE OFFICE" totalsRowFunction="sum" dataDxfId="72" totalsRowDxfId="71"/>
    <tableColumn id="4" xr3:uid="{26F3B882-C1AD-4A38-9753-33F8BF6410C3}" name="IN OFFICE VISITS" totalsRowFunction="sum" dataDxfId="70" totalsRowDxfId="69"/>
    <tableColumn id="5" xr3:uid="{6D97AF41-DA3C-482C-95C0-950A05964143}" name="OUTSIDE CALLS" totalsRowFunction="sum" dataDxfId="68" totalsRowDxfId="67"/>
    <tableColumn id="7" xr3:uid="{DF1E10B6-D912-4BE1-B831-650F3639C074}" name="NEW ACCT. PHONE" totalsRowFunction="sum" dataDxfId="66" totalsRowDxfId="65"/>
    <tableColumn id="9" xr3:uid="{92F97685-A820-4596-8AE7-334B987971EC}" name="FOOD &amp; BEVERAGE" totalsRowFunction="sum" dataDxfId="64" totalsRowDxfId="63"/>
    <tableColumn id="10" xr3:uid="{681E63AD-84D7-4862-8CDC-C1090BECAFCF}" name="MTG. ROOM RENTAL" totalsRowFunction="sum" dataDxfId="62" totalsRowDxfId="61"/>
    <tableColumn id="11" xr3:uid="{99FCA017-ED81-48C8-A8A4-FEDAE12C5CF8}" name="OTHER*" totalsRowFunction="sum" dataDxfId="60" totalsRowDxfId="59"/>
    <tableColumn id="12" xr3:uid="{063E4BC2-228C-4812-B5C0-B0C86DD74EF3}" name="TOTAL" totalsRowFunction="sum" dataDxfId="58" totalsRowDxfId="57">
      <calculatedColumnFormula>SUM(r_SalesReport[[#This Row],[IN SALES OFFICE]:[OTHER*]])</calculatedColumnFormula>
    </tableColumn>
  </tableColumns>
  <tableStyleInfo name="Weeky Sales Activity" showFirstColumn="0" showLastColumn="0" showRowStripes="1" showColumnStripes="0"/>
  <extLst>
    <ext xmlns:x14="http://schemas.microsoft.com/office/spreadsheetml/2009/9/main" uri="{504A1905-F514-4f6f-8877-14C23A59335A}">
      <x14:table altText="Sales Activity Table" altTextSummary="Enter sales figures in this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B9C8BE-E601-4906-9BBF-47A5A270D1C2}" name="r_InventoryList" displayName="r_InventoryList" ref="B8:K19" headerRowDxfId="56" dataDxfId="55" totalsRowDxfId="54" headerRowCellStyle="Heading 1">
  <autoFilter ref="B8:K19" xr:uid="{2BB9C8BE-E601-4906-9BBF-47A5A270D1C2}"/>
  <sortState xmlns:xlrd2="http://schemas.microsoft.com/office/spreadsheetml/2017/richdata2" ref="B9:F17">
    <sortCondition ref="C7:C16"/>
  </sortState>
  <tableColumns count="10">
    <tableColumn id="1" xr3:uid="{CEEAC3D4-25B7-44ED-A222-7C020A6195AC}" name="SKU" totalsRowLabel="Totals" dataDxfId="53"/>
    <tableColumn id="2" xr3:uid="{23482334-B077-4461-91BD-36BFEEF0EC19}" name="DESCRIPTION" dataDxfId="52"/>
    <tableColumn id="3" xr3:uid="{56C42182-1090-4332-9BF3-DDBD3FB340C9}" name="BIN #" dataDxfId="51"/>
    <tableColumn id="4" xr3:uid="{4E4BE383-09A3-4C87-9896-22AECF33BE75}" name="LOCATION" dataDxfId="50"/>
    <tableColumn id="5" xr3:uid="{0BC8AED1-AD83-4043-8A5C-4C468355CDF5}" name="UNIT" dataDxfId="49"/>
    <tableColumn id="6" xr3:uid="{845098C7-D189-4089-9F70-22E6DE36129E}" name="QTY" dataDxfId="48"/>
    <tableColumn id="8" xr3:uid="{B7E63B57-55B1-443D-8014-D541194C25E2}" name="REORDER QTY" dataDxfId="47"/>
    <tableColumn id="7" xr3:uid="{004335AD-B330-4B73-BA6F-DF8D2F3E56BF}" name="COST" dataDxfId="46"/>
    <tableColumn id="10" xr3:uid="{F3A6E46D-024F-48A0-97FB-4549A483E411}" name="INVENTORY VALUE" dataDxfId="45">
      <calculatedColumnFormula>r_InventoryList[[#This Row],[QTY]]*r_InventoryList[[#This Row],[COST]]</calculatedColumnFormula>
    </tableColumn>
    <tableColumn id="9" xr3:uid="{C529B156-2ECA-4344-8A1A-560C3B12AC11}" name="REORDER" dataDxfId="44">
      <calculatedColumnFormula>IFERROR(IF(r_InventoryList[[#This Row],[QTY]]&lt;=r_InventoryList[[#This Row],[REORDER QTY]],1,0),0)</calculatedColumnFormula>
    </tableColumn>
  </tableColumns>
  <tableStyleInfo name="Warehouse Inventory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 such as SKU, description, bin number, location, unit, quantity, reorder quantity, cost, inventory value and reorder statu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8B3F53-8792-47EF-B8B3-DD89D4EDB3EF}" name="r_Expenses" displayName="r_Expenses" ref="B25:H36" totalsRowCount="1">
  <autoFilter ref="B25:H35" xr:uid="{348B3F53-8792-47EF-B8B3-DD89D4EDB3EF}"/>
  <tableColumns count="7">
    <tableColumn id="1" xr3:uid="{BB6E3B26-99B1-4739-8777-BB82672D7307}" name="Expense Type" totalsRowLabel="Total Operating Expenses" totalsRowDxfId="43"/>
    <tableColumn id="8" xr3:uid="{CE906F94-B2A9-4AE7-BAD3-EA8A32F8B108}" name="Description" totalsRowDxfId="42" dataCellStyle="Normal"/>
    <tableColumn id="2" xr3:uid="{97638CD7-8AF5-4B7E-B9CC-1CE5BCB29428}" name="Prior Period" totalsRowFunction="sum" totalsRowDxfId="41" dataCellStyle="Currency"/>
    <tableColumn id="3" xr3:uid="{EDEFDFCD-85DD-4A25-9BBA-65F927E494E9}" name="Budget" totalsRowFunction="sum" totalsRowDxfId="40" dataCellStyle="Currency"/>
    <tableColumn id="4" xr3:uid="{72B31B7C-3778-46D0-ABFC-B196A44E4F11}" name="Current Period" totalsRowFunction="sum" totalsRowDxfId="39" dataCellStyle="Currency"/>
    <tableColumn id="6" xr3:uid="{DD2F3A50-BFCC-47D5-B3B4-1E7291F163A9}" name="% Change from Prior Period" totalsRowFunction="sum" totalsRowDxfId="38" dataCellStyle="Percent"/>
    <tableColumn id="7" xr3:uid="{23045C39-FC5F-4109-84BB-7E0738CB79A9}" name="% Change from Budget" totalsRowFunction="sum" totalsRowDxfId="37" dataCellStyle="Percent"/>
  </tableColumns>
  <tableStyleInfo name="Profit and Loss Statement" showFirstColumn="1" showLastColumn="0" showRowStripes="0" showColumnStripes="0"/>
  <extLst>
    <ext xmlns:x14="http://schemas.microsoft.com/office/spreadsheetml/2009/9/main" uri="{504A1905-F514-4f6f-8877-14C23A59335A}">
      <x14:table altTextSummary="Enter Expense Type, Description, Prior &amp; Current Periods, and Budget. Current Period as % of Sales, % Change from Prior Period &amp; % Change from Budget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C7A694-D3B8-48B1-A36D-2EBFCAE65DFF}" name="r_ExpensesVisRowsOnly" displayName="r_ExpensesVisRowsOnly" ref="B44:E51" totalsRowShown="0" headerRowBorderDxfId="36" tableBorderDxfId="35" totalsRowBorderDxfId="34">
  <autoFilter ref="B44:E51" xr:uid="{F4C7A694-D3B8-48B1-A36D-2EBFCAE65DFF}">
    <filterColumn colId="2">
      <filters>
        <filter val="Communications"/>
        <filter val="Education"/>
        <filter val="Other"/>
        <filter val="Restaurant"/>
        <filter val="Transportation"/>
      </filters>
    </filterColumn>
  </autoFilter>
  <tableColumns count="4">
    <tableColumn id="1" xr3:uid="{85240F05-D64A-4F8C-8941-8AACD6E83490}" name="Merchant" dataDxfId="33" dataCellStyle="Normal"/>
    <tableColumn id="2" xr3:uid="{0166E64F-6E4A-4815-899C-A7CD15132015}" name="Date" dataDxfId="32" dataCellStyle="Normal"/>
    <tableColumn id="3" xr3:uid="{D4A54303-C7EB-46A1-A1A1-5668BE0FB579}" name="Category" dataDxfId="31" dataCellStyle="Normal"/>
    <tableColumn id="4" xr3:uid="{B198F2A4-FBAC-4CD8-91E6-9C33AB15D63D}" name="Amount" dataDxfId="30" dataCellStyle="Normal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FBEDA9-F980-4382-9A09-CD41146E7882}" name="PivotData" displayName="PivotData" ref="B55:F71" totalsRowShown="0">
  <autoFilter ref="B55:F71" xr:uid="{F5CCF203-FF10-49EF-9E15-5EF8CF43EB9B}"/>
  <tableColumns count="5">
    <tableColumn id="1" xr3:uid="{81C36C78-52DA-4BEB-88E6-C9F3A7D6DD28}" name="Year"/>
    <tableColumn id="2" xr3:uid="{C027147C-D4CA-4DDD-B7AF-2ABD5540C622}" name="Category"/>
    <tableColumn id="3" xr3:uid="{111EB105-1B09-4928-9C11-171516EFD1FF}" name="Product"/>
    <tableColumn id="4" xr3:uid="{D58C8518-3984-4650-893E-3661A0D0306E}" name="Sales" dataDxfId="3"/>
    <tableColumn id="5" xr3:uid="{877AD8D1-3806-475B-B887-B62C9E5A8563}" name="Rating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lexeraSoftware">
    <a:dk1>
      <a:sysClr val="windowText" lastClr="000000"/>
    </a:dk1>
    <a:lt1>
      <a:srgbClr val="FFFFFF"/>
    </a:lt1>
    <a:dk2>
      <a:srgbClr val="0079C1"/>
    </a:dk2>
    <a:lt2>
      <a:srgbClr val="C9EAFF"/>
    </a:lt2>
    <a:accent1>
      <a:srgbClr val="DEB408"/>
    </a:accent1>
    <a:accent2>
      <a:srgbClr val="005295"/>
    </a:accent2>
    <a:accent3>
      <a:srgbClr val="439639"/>
    </a:accent3>
    <a:accent4>
      <a:srgbClr val="791D7E"/>
    </a:accent4>
    <a:accent5>
      <a:srgbClr val="E0C398"/>
    </a:accent5>
    <a:accent6>
      <a:srgbClr val="9EA1A4"/>
    </a:accent6>
    <a:hlink>
      <a:srgbClr val="005295"/>
    </a:hlink>
    <a:folHlink>
      <a:srgbClr val="791D7E"/>
    </a:folHlink>
  </a:clrScheme>
  <a:fontScheme name="Flexera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  <wetp:taskpane dockstate="right" visibility="0" width="465" row="9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7809E094-9F15-4AA5-A297-081300E99EBE}">
  <we:reference id="wa104380955" version="3.16.2.1" store="en-US" storeType="OMEX"/>
  <we:alternateReferences>
    <we:reference id="WA104380955" version="3.16.2.1" store="" storeType="OMEX"/>
  </we:alternateReferences>
  <we:properties>
    <we:property name="ApItemProps" value="{&quot;{80DEC609-27B1-4035-803D-D61697D60C7B}&quot;:{&quot;tlTableType&quot;:&quot;Flex&quot;,&quot;tlNoTop&quot;:&quot;Yes&quot;,&quot;trTaWidth&quot;:&quot;Default&quot;},&quot;{4F8974BB-EB48-4F52-ADFC-E8CE63C82166}&quot;:{&quot;tlTableType&quot;:&quot;Image&quot;,&quot;tlNoTop&quot;:&quot;Yes&quot;},&quot;{F4C7A694-D3B8-48B1-A36D-2EBFCAE65DFF}&quot;:{&quot;tlInclHidden&quot;:&quot;No&quot;,&quot;tlTableType&quot;:&quot;Dest&quot;},&quot;{522E437B-D71F-47CE-9FFF-4ED435FB4800}&quot;:{&quot;tlTableType&quot;:&quot;Flex&quot;},&quot;{7893B805-DAB8-4DE0-8D3F-A83C6E936F04}&quot;:{&quot;tlTableType&quot;:&quot;Flex&quot;},&quot;{348B3F53-8792-47EF-B8B3-DD89D4EDB3EF}&quot;:{&quot;tlTableType&quot;:&quot;Dest&quot;,&quot;tlInclHidden&quot;:&quot;No&quot;},&quot;{2BB9C8BE-E601-4906-9BBF-47A5A270D1C2}&quot;:{&quot;tlTableType&quot;:&quot;Dest&quot;,&quot;tlInclHidden&quot;:&quot;No&quot;},&quot;{937DD79D-37D0-4660-ACA4-6BC05B11941F}&quot;:{&quot;tlTableType&quot;:&quot;Image&quot;,&quot;tlNoTop&quot;:&quot;Yes&quot;},&quot;{9A0854FE-4839-4EB1-BF33-7BD96908305C}&quot;:{&quot;tlTableType&quot;:&quot;Flex&quot;,&quot;tlNoTop&quot;:&quot;Yes&quot;},&quot;{24ACB7C8-5F58-4A66-8DCD-E969AF8EC045}&quot;:{&quot;tlNoTop&quot;:&quot;Yes&quot;}}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DF9E7055-A532-4D19-A673-2A674E503132}">
  <we:reference id="78f4d70e-fb8b-4f8d-b284-0a2e60aeef37" version="3.16.2.1" store="//ANDREWHP2024/Users/ahall/OneDrive - AnalysisPlace/Add-Ins/Manifests" storeType="Filesystem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8.x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012D-3497-4801-949B-85240E3142C0}">
  <sheetPr codeName="Sheet1"/>
  <dimension ref="A1:J37"/>
  <sheetViews>
    <sheetView showGridLines="0" tabSelected="1" workbookViewId="0">
      <selection activeCell="E3" sqref="E3"/>
    </sheetView>
  </sheetViews>
  <sheetFormatPr defaultColWidth="10.140625" defaultRowHeight="15"/>
  <cols>
    <col min="1" max="1" width="3.85546875" customWidth="1"/>
    <col min="2" max="2" width="3.28515625" customWidth="1"/>
    <col min="3" max="3" width="27.140625" customWidth="1"/>
    <col min="4" max="4" width="17.28515625" customWidth="1"/>
    <col min="5" max="5" width="73" customWidth="1"/>
    <col min="6" max="6" width="37" customWidth="1"/>
    <col min="7" max="7" width="2.140625" customWidth="1"/>
    <col min="8" max="11" width="8.140625" customWidth="1"/>
  </cols>
  <sheetData>
    <row r="1" spans="1:10" ht="31.5">
      <c r="A1" s="70" t="s">
        <v>275</v>
      </c>
      <c r="J1" s="67"/>
    </row>
    <row r="2" spans="1:10" ht="52.5" customHeight="1"/>
    <row r="3" spans="1:10" ht="68.25" customHeight="1"/>
    <row r="4" spans="1:10" ht="19.5">
      <c r="A4" s="68" t="s">
        <v>7</v>
      </c>
    </row>
    <row r="5" spans="1:10">
      <c r="C5" s="459" t="s">
        <v>404</v>
      </c>
      <c r="D5" s="459"/>
      <c r="E5" s="459"/>
    </row>
    <row r="6" spans="1:10">
      <c r="C6" s="459" t="s">
        <v>6</v>
      </c>
      <c r="D6" s="459"/>
      <c r="E6" s="459"/>
    </row>
    <row r="7" spans="1:10" ht="31.5" customHeight="1">
      <c r="C7" s="458" t="s">
        <v>933</v>
      </c>
      <c r="D7" s="458"/>
      <c r="E7" s="458"/>
    </row>
    <row r="8" spans="1:10">
      <c r="C8" s="458" t="s">
        <v>277</v>
      </c>
      <c r="D8" s="458"/>
      <c r="E8" s="458"/>
    </row>
    <row r="9" spans="1:10">
      <c r="C9" s="458" t="s">
        <v>278</v>
      </c>
      <c r="D9" s="458"/>
      <c r="E9" s="458"/>
    </row>
    <row r="10" spans="1:10" ht="33.75" customHeight="1">
      <c r="C10" s="458" t="s">
        <v>276</v>
      </c>
      <c r="D10" s="458"/>
      <c r="E10" s="458"/>
    </row>
    <row r="11" spans="1:10" ht="8.25" customHeight="1">
      <c r="C11" s="460"/>
      <c r="D11" s="460"/>
      <c r="E11" s="460"/>
    </row>
    <row r="12" spans="1:10">
      <c r="C12" s="459" t="s">
        <v>279</v>
      </c>
      <c r="D12" s="459"/>
      <c r="E12" s="459"/>
    </row>
    <row r="13" spans="1:10" ht="36.75" customHeight="1" thickBot="1">
      <c r="A13" s="68" t="s">
        <v>280</v>
      </c>
    </row>
    <row r="14" spans="1:10" ht="32.25" thickBot="1">
      <c r="C14" s="236" t="s">
        <v>281</v>
      </c>
      <c r="D14" s="236" t="s">
        <v>403</v>
      </c>
      <c r="E14" s="236" t="s">
        <v>5</v>
      </c>
      <c r="F14" s="236" t="s">
        <v>846</v>
      </c>
    </row>
    <row r="15" spans="1:10" ht="38.25" thickBot="1">
      <c r="C15" s="239" t="s">
        <v>900</v>
      </c>
      <c r="D15" s="380" t="s">
        <v>903</v>
      </c>
      <c r="E15" s="237" t="s">
        <v>902</v>
      </c>
      <c r="F15" s="238"/>
    </row>
    <row r="16" spans="1:10" ht="20.25" thickBot="1">
      <c r="B16" s="68" t="s">
        <v>471</v>
      </c>
      <c r="C16" s="235"/>
      <c r="D16" s="381"/>
      <c r="E16" s="238"/>
      <c r="F16" s="238"/>
    </row>
    <row r="17" spans="2:6" ht="19.5" thickBot="1">
      <c r="C17" s="239" t="s">
        <v>283</v>
      </c>
      <c r="D17" s="378" t="s">
        <v>859</v>
      </c>
      <c r="E17" s="237" t="s">
        <v>858</v>
      </c>
      <c r="F17" s="237" t="s">
        <v>852</v>
      </c>
    </row>
    <row r="18" spans="2:6" ht="19.5" thickBot="1">
      <c r="C18" s="239" t="s">
        <v>283</v>
      </c>
      <c r="D18" s="378" t="s">
        <v>860</v>
      </c>
      <c r="E18" s="237" t="s">
        <v>861</v>
      </c>
      <c r="F18" s="237" t="s">
        <v>285</v>
      </c>
    </row>
    <row r="19" spans="2:6" ht="19.5" thickBot="1">
      <c r="C19" s="239" t="s">
        <v>333</v>
      </c>
      <c r="D19" s="378" t="s">
        <v>862</v>
      </c>
      <c r="E19" s="237" t="s">
        <v>868</v>
      </c>
      <c r="F19" s="237" t="s">
        <v>285</v>
      </c>
    </row>
    <row r="20" spans="2:6" ht="19.5" thickBot="1">
      <c r="C20" s="239" t="s">
        <v>863</v>
      </c>
      <c r="D20" s="378" t="s">
        <v>864</v>
      </c>
      <c r="E20" s="237" t="s">
        <v>867</v>
      </c>
      <c r="F20" s="237" t="s">
        <v>285</v>
      </c>
    </row>
    <row r="21" spans="2:6" ht="19.5" thickBot="1">
      <c r="C21" s="239" t="s">
        <v>469</v>
      </c>
      <c r="D21" s="378" t="s">
        <v>866</v>
      </c>
      <c r="E21" s="237" t="s">
        <v>865</v>
      </c>
      <c r="F21" s="237" t="s">
        <v>285</v>
      </c>
    </row>
    <row r="22" spans="2:6" ht="20.25" thickBot="1">
      <c r="B22" s="68" t="s">
        <v>892</v>
      </c>
      <c r="C22" s="235"/>
      <c r="D22" s="381"/>
      <c r="E22" s="238"/>
      <c r="F22" s="238"/>
    </row>
    <row r="23" spans="2:6" ht="30.75" thickBot="1">
      <c r="C23" s="239" t="s">
        <v>472</v>
      </c>
      <c r="D23" s="382" t="s">
        <v>472</v>
      </c>
      <c r="E23" s="237" t="s">
        <v>872</v>
      </c>
      <c r="F23" s="237" t="s">
        <v>882</v>
      </c>
    </row>
    <row r="24" spans="2:6" ht="30.75" thickBot="1">
      <c r="C24" s="239" t="s">
        <v>606</v>
      </c>
      <c r="D24" s="382" t="s">
        <v>171</v>
      </c>
      <c r="E24" s="237" t="s">
        <v>878</v>
      </c>
      <c r="F24" s="237" t="s">
        <v>879</v>
      </c>
    </row>
    <row r="25" spans="2:6" ht="19.5" thickBot="1">
      <c r="C25" s="239" t="s">
        <v>875</v>
      </c>
      <c r="D25" s="382" t="s">
        <v>876</v>
      </c>
      <c r="E25" s="237" t="s">
        <v>877</v>
      </c>
      <c r="F25" s="237" t="s">
        <v>285</v>
      </c>
    </row>
    <row r="26" spans="2:6" ht="45.75" thickBot="1">
      <c r="C26" s="239" t="s">
        <v>604</v>
      </c>
      <c r="D26" s="382" t="s">
        <v>605</v>
      </c>
      <c r="E26" s="237" t="s">
        <v>886</v>
      </c>
      <c r="F26" s="237" t="s">
        <v>285</v>
      </c>
    </row>
    <row r="27" spans="2:6" ht="30.75" thickBot="1">
      <c r="C27" s="239" t="s">
        <v>650</v>
      </c>
      <c r="D27" s="382" t="s">
        <v>651</v>
      </c>
      <c r="E27" s="237" t="s">
        <v>884</v>
      </c>
      <c r="F27" s="237" t="s">
        <v>885</v>
      </c>
    </row>
    <row r="28" spans="2:6" ht="38.25" thickBot="1">
      <c r="C28" s="239" t="s">
        <v>873</v>
      </c>
      <c r="D28" s="382" t="s">
        <v>530</v>
      </c>
      <c r="E28" s="237" t="s">
        <v>874</v>
      </c>
      <c r="F28" s="237" t="s">
        <v>285</v>
      </c>
    </row>
    <row r="29" spans="2:6" ht="38.25" thickBot="1">
      <c r="C29" s="239" t="s">
        <v>869</v>
      </c>
      <c r="D29" s="382" t="s">
        <v>870</v>
      </c>
      <c r="E29" s="237" t="s">
        <v>871</v>
      </c>
      <c r="F29" s="237" t="s">
        <v>881</v>
      </c>
    </row>
    <row r="30" spans="2:6" ht="19.5" thickBot="1">
      <c r="C30" s="239" t="s">
        <v>856</v>
      </c>
      <c r="D30" s="382" t="s">
        <v>857</v>
      </c>
      <c r="E30" s="237" t="s">
        <v>905</v>
      </c>
      <c r="F30" s="237" t="s">
        <v>285</v>
      </c>
    </row>
    <row r="31" spans="2:6" ht="19.5" thickBot="1">
      <c r="C31" s="239" t="s">
        <v>934</v>
      </c>
      <c r="D31" s="382" t="s">
        <v>966</v>
      </c>
      <c r="E31" s="237" t="s">
        <v>967</v>
      </c>
      <c r="F31" s="237" t="s">
        <v>852</v>
      </c>
    </row>
    <row r="32" spans="2:6" ht="20.25" thickBot="1">
      <c r="B32" s="68" t="s">
        <v>855</v>
      </c>
      <c r="C32" s="235"/>
      <c r="D32" s="381"/>
      <c r="E32" s="238"/>
      <c r="F32" s="238"/>
    </row>
    <row r="33" spans="2:6" ht="19.5" thickBot="1">
      <c r="C33" s="239" t="s">
        <v>4</v>
      </c>
      <c r="D33" s="383" t="s">
        <v>3</v>
      </c>
      <c r="E33" s="237" t="s">
        <v>2</v>
      </c>
      <c r="F33" s="237" t="s">
        <v>880</v>
      </c>
    </row>
    <row r="34" spans="2:6" ht="45.75" thickBot="1">
      <c r="C34" s="239" t="s">
        <v>1</v>
      </c>
      <c r="D34" s="383" t="s">
        <v>0</v>
      </c>
      <c r="E34" s="237" t="s">
        <v>883</v>
      </c>
      <c r="F34" s="237" t="s">
        <v>285</v>
      </c>
    </row>
    <row r="35" spans="2:6" ht="20.25" thickBot="1">
      <c r="B35" s="68" t="s">
        <v>284</v>
      </c>
      <c r="C35" s="235"/>
      <c r="D35" s="381"/>
      <c r="E35" s="238"/>
      <c r="F35" s="238"/>
    </row>
    <row r="36" spans="2:6" ht="30.75" thickBot="1">
      <c r="C36" s="239" t="s">
        <v>603</v>
      </c>
      <c r="D36" s="384" t="s">
        <v>603</v>
      </c>
      <c r="E36" s="237" t="s">
        <v>930</v>
      </c>
      <c r="F36" s="237" t="s">
        <v>853</v>
      </c>
    </row>
    <row r="37" spans="2:6" ht="19.5" thickBot="1">
      <c r="C37" s="239" t="s">
        <v>854</v>
      </c>
      <c r="D37" s="384" t="s">
        <v>854</v>
      </c>
      <c r="E37" s="237" t="s">
        <v>931</v>
      </c>
      <c r="F37" s="237" t="s">
        <v>853</v>
      </c>
    </row>
  </sheetData>
  <mergeCells count="8">
    <mergeCell ref="C10:E10"/>
    <mergeCell ref="C12:E12"/>
    <mergeCell ref="C5:E5"/>
    <mergeCell ref="C11:E11"/>
    <mergeCell ref="C6:E6"/>
    <mergeCell ref="C7:E7"/>
    <mergeCell ref="C8:E8"/>
    <mergeCell ref="C9:E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EE81-4461-4B15-94C8-1FF71FE94AA4}">
  <sheetPr codeName="Sheet2">
    <tabColor theme="0"/>
  </sheetPr>
  <dimension ref="A1:I84"/>
  <sheetViews>
    <sheetView showGridLines="0" workbookViewId="0"/>
  </sheetViews>
  <sheetFormatPr defaultColWidth="9.140625" defaultRowHeight="15"/>
  <cols>
    <col min="1" max="2" width="2.7109375" customWidth="1"/>
    <col min="3" max="3" width="33" customWidth="1"/>
    <col min="4" max="6" width="41.5703125" customWidth="1"/>
  </cols>
  <sheetData>
    <row r="1" spans="1:6" ht="31.5">
      <c r="A1" s="70" t="s">
        <v>900</v>
      </c>
    </row>
    <row r="2" spans="1:6" ht="53.25" customHeight="1">
      <c r="C2" s="461" t="s">
        <v>904</v>
      </c>
      <c r="D2" s="461"/>
      <c r="E2" s="461"/>
      <c r="F2" s="3"/>
    </row>
    <row r="5" spans="1:6" ht="19.5">
      <c r="A5" s="68" t="s">
        <v>901</v>
      </c>
    </row>
    <row r="6" spans="1:6" ht="30" customHeight="1" thickBot="1">
      <c r="A6" s="463" t="s">
        <v>63</v>
      </c>
      <c r="B6" s="463"/>
      <c r="C6" s="463"/>
      <c r="D6" s="463"/>
      <c r="E6" s="463"/>
      <c r="F6" s="463"/>
    </row>
    <row r="7" spans="1:6" ht="16.5" thickBot="1">
      <c r="C7" s="1"/>
      <c r="D7" s="2" t="s">
        <v>895</v>
      </c>
      <c r="E7" s="2" t="s">
        <v>62</v>
      </c>
      <c r="F7" s="2" t="s">
        <v>61</v>
      </c>
    </row>
    <row r="8" spans="1:6" ht="90.75" thickBot="1">
      <c r="C8" s="4" t="s">
        <v>60</v>
      </c>
      <c r="D8" s="1" t="s">
        <v>59</v>
      </c>
      <c r="E8" s="1" t="s">
        <v>896</v>
      </c>
      <c r="F8" s="1" t="s">
        <v>58</v>
      </c>
    </row>
    <row r="9" spans="1:6" ht="105.75" thickBot="1">
      <c r="C9" s="4" t="s">
        <v>57</v>
      </c>
      <c r="D9" s="1" t="s">
        <v>56</v>
      </c>
      <c r="E9" s="1" t="s">
        <v>897</v>
      </c>
      <c r="F9" s="1" t="s">
        <v>55</v>
      </c>
    </row>
    <row r="10" spans="1:6" ht="46.5" thickBot="1">
      <c r="C10" s="4" t="s">
        <v>54</v>
      </c>
      <c r="D10" s="1" t="s">
        <v>53</v>
      </c>
      <c r="E10" s="1" t="s">
        <v>52</v>
      </c>
      <c r="F10" s="1" t="s">
        <v>51</v>
      </c>
    </row>
    <row r="11" spans="1:6" ht="16.5" thickBot="1">
      <c r="C11" s="4" t="s">
        <v>50</v>
      </c>
      <c r="D11" s="1" t="s">
        <v>49</v>
      </c>
      <c r="E11" s="1" t="s">
        <v>48</v>
      </c>
      <c r="F11" s="1" t="s">
        <v>47</v>
      </c>
    </row>
    <row r="12" spans="1:6" ht="45.75" thickBot="1">
      <c r="C12" s="4" t="s">
        <v>46</v>
      </c>
      <c r="D12" s="1" t="s">
        <v>45</v>
      </c>
      <c r="E12" s="1" t="s">
        <v>44</v>
      </c>
      <c r="F12" s="1" t="s">
        <v>43</v>
      </c>
    </row>
    <row r="13" spans="1:6" ht="233.25" customHeight="1" thickBot="1">
      <c r="C13" s="4" t="s">
        <v>42</v>
      </c>
      <c r="D13" s="1" t="s">
        <v>41</v>
      </c>
      <c r="E13" s="1" t="s">
        <v>898</v>
      </c>
      <c r="F13" s="1" t="s">
        <v>40</v>
      </c>
    </row>
    <row r="14" spans="1:6" ht="16.5" thickBot="1">
      <c r="C14" s="4" t="s">
        <v>39</v>
      </c>
      <c r="D14" s="1" t="s">
        <v>38</v>
      </c>
      <c r="E14" s="1" t="s">
        <v>21</v>
      </c>
      <c r="F14" s="1" t="s">
        <v>21</v>
      </c>
    </row>
    <row r="15" spans="1:6" ht="16.5" thickBot="1">
      <c r="C15" s="4" t="s">
        <v>37</v>
      </c>
      <c r="D15" s="1" t="s">
        <v>21</v>
      </c>
      <c r="E15" s="1" t="s">
        <v>21</v>
      </c>
      <c r="F15" s="1" t="s">
        <v>21</v>
      </c>
    </row>
    <row r="16" spans="1:6" ht="16.5" thickBot="1">
      <c r="C16" s="4" t="s">
        <v>36</v>
      </c>
      <c r="D16" s="1" t="s">
        <v>21</v>
      </c>
      <c r="E16" s="1" t="s">
        <v>35</v>
      </c>
      <c r="F16" s="1" t="s">
        <v>21</v>
      </c>
    </row>
    <row r="17" spans="1:6" ht="16.5" thickBot="1">
      <c r="C17" s="4" t="s">
        <v>4</v>
      </c>
      <c r="D17" s="1" t="s">
        <v>21</v>
      </c>
      <c r="E17" s="1" t="s">
        <v>34</v>
      </c>
      <c r="F17" s="1" t="s">
        <v>21</v>
      </c>
    </row>
    <row r="18" spans="1:6" ht="16.5" thickBot="1">
      <c r="C18" s="4" t="s">
        <v>33</v>
      </c>
      <c r="D18" s="1" t="s">
        <v>30</v>
      </c>
      <c r="E18" s="1" t="s">
        <v>899</v>
      </c>
      <c r="F18" s="1" t="s">
        <v>21</v>
      </c>
    </row>
    <row r="19" spans="1:6" ht="16.5" thickBot="1">
      <c r="C19" s="4" t="s">
        <v>32</v>
      </c>
      <c r="D19" s="1" t="s">
        <v>30</v>
      </c>
      <c r="E19" s="1" t="s">
        <v>31</v>
      </c>
      <c r="F19" s="1" t="s">
        <v>30</v>
      </c>
    </row>
    <row r="20" spans="1:6" ht="48" thickBot="1">
      <c r="C20" s="4" t="s">
        <v>29</v>
      </c>
      <c r="D20" s="1" t="s">
        <v>21</v>
      </c>
      <c r="E20" s="1" t="s">
        <v>28</v>
      </c>
      <c r="F20" s="1" t="s">
        <v>21</v>
      </c>
    </row>
    <row r="21" spans="1:6" ht="45.75" thickBot="1">
      <c r="C21" s="4" t="s">
        <v>27</v>
      </c>
      <c r="D21" s="1" t="s">
        <v>26</v>
      </c>
      <c r="E21" s="1" t="s">
        <v>25</v>
      </c>
      <c r="F21" s="1" t="s">
        <v>24</v>
      </c>
    </row>
    <row r="22" spans="1:6" ht="45.75" thickBot="1">
      <c r="C22" s="4" t="s">
        <v>23</v>
      </c>
      <c r="D22" s="1" t="s">
        <v>22</v>
      </c>
      <c r="E22" s="1" t="s">
        <v>21</v>
      </c>
      <c r="F22" s="1" t="s">
        <v>20</v>
      </c>
    </row>
    <row r="23" spans="1:6" ht="60.75" thickBot="1">
      <c r="C23" s="4" t="s">
        <v>19</v>
      </c>
      <c r="D23" s="1" t="s">
        <v>18</v>
      </c>
      <c r="E23" s="1" t="s">
        <v>17</v>
      </c>
      <c r="F23" s="1" t="s">
        <v>16</v>
      </c>
    </row>
    <row r="25" spans="1:6">
      <c r="C25" s="462" t="s">
        <v>15</v>
      </c>
      <c r="D25" s="462"/>
      <c r="E25" s="462"/>
      <c r="F25" s="462"/>
    </row>
    <row r="26" spans="1:6" ht="30.75" customHeight="1">
      <c r="C26" s="462" t="s">
        <v>14</v>
      </c>
      <c r="D26" s="462"/>
      <c r="E26" s="462"/>
      <c r="F26" s="462"/>
    </row>
    <row r="27" spans="1:6" ht="30.75" customHeight="1">
      <c r="C27" s="462" t="s">
        <v>13</v>
      </c>
      <c r="D27" s="462"/>
      <c r="E27" s="462"/>
      <c r="F27" s="462"/>
    </row>
    <row r="28" spans="1:6">
      <c r="C28" s="462" t="s">
        <v>12</v>
      </c>
      <c r="D28" s="462"/>
      <c r="E28" s="462"/>
      <c r="F28" s="462"/>
    </row>
    <row r="29" spans="1:6">
      <c r="C29" s="462" t="s">
        <v>11</v>
      </c>
      <c r="D29" s="462"/>
      <c r="E29" s="462"/>
      <c r="F29" s="462"/>
    </row>
    <row r="30" spans="1:6">
      <c r="C30" s="462" t="s">
        <v>10</v>
      </c>
      <c r="D30" s="462"/>
      <c r="E30" s="462"/>
      <c r="F30" s="462"/>
    </row>
    <row r="32" spans="1:6" ht="19.5">
      <c r="A32" s="68" t="s">
        <v>74</v>
      </c>
    </row>
    <row r="33" spans="1:5" ht="36" customHeight="1">
      <c r="C33" s="460" t="s">
        <v>73</v>
      </c>
      <c r="D33" s="460"/>
      <c r="E33" s="460"/>
    </row>
    <row r="34" spans="1:5" ht="31.5" customHeight="1">
      <c r="C34" s="460" t="s">
        <v>72</v>
      </c>
      <c r="D34" s="460"/>
      <c r="E34" s="460"/>
    </row>
    <row r="40" spans="1:5" ht="19.5">
      <c r="A40" s="68" t="s">
        <v>71</v>
      </c>
    </row>
    <row r="41" spans="1:5" ht="31.5" customHeight="1">
      <c r="C41" s="460" t="s">
        <v>70</v>
      </c>
      <c r="D41" s="460"/>
      <c r="E41" s="460"/>
    </row>
    <row r="42" spans="1:5" ht="16.5" thickBot="1">
      <c r="C42" s="12"/>
      <c r="D42" s="11" t="s">
        <v>69</v>
      </c>
      <c r="E42" s="11" t="s">
        <v>68</v>
      </c>
    </row>
    <row r="43" spans="1:5" ht="16.5" thickTop="1">
      <c r="C43" s="8" t="s">
        <v>67</v>
      </c>
      <c r="D43" s="10">
        <f ca="1">NOW()</f>
        <v>45780.620008680555</v>
      </c>
      <c r="E43" s="9" t="s">
        <v>66</v>
      </c>
    </row>
    <row r="44" spans="1:5" ht="15.75">
      <c r="C44" s="8" t="s">
        <v>65</v>
      </c>
      <c r="D44" s="7">
        <v>2</v>
      </c>
      <c r="E44" s="6" t="s">
        <v>64</v>
      </c>
    </row>
    <row r="45" spans="1:5">
      <c r="C45" s="5"/>
    </row>
    <row r="46" spans="1:5" ht="39" customHeight="1"/>
    <row r="48" spans="1:5" ht="19.5">
      <c r="A48" s="68" t="s">
        <v>9</v>
      </c>
    </row>
    <row r="50" spans="1:5">
      <c r="C50" t="s">
        <v>8</v>
      </c>
    </row>
    <row r="52" spans="1:5" ht="15.75">
      <c r="A52" s="13" t="s">
        <v>100</v>
      </c>
    </row>
    <row r="54" spans="1:5">
      <c r="A54" t="s">
        <v>99</v>
      </c>
    </row>
    <row r="55" spans="1:5">
      <c r="A55" s="465" t="s">
        <v>98</v>
      </c>
      <c r="B55" s="465"/>
      <c r="C55" s="465"/>
      <c r="D55" s="465"/>
      <c r="E55" s="18"/>
    </row>
    <row r="56" spans="1:5" ht="15.75">
      <c r="A56" s="18"/>
      <c r="B56" s="464" t="s">
        <v>97</v>
      </c>
      <c r="C56" s="464"/>
      <c r="D56" s="18"/>
      <c r="E56" s="18"/>
    </row>
    <row r="57" spans="1:5">
      <c r="A57" s="18"/>
      <c r="B57" s="18"/>
      <c r="C57" s="17" t="s">
        <v>94</v>
      </c>
      <c r="D57" s="17" t="s">
        <v>93</v>
      </c>
      <c r="E57" s="18"/>
    </row>
    <row r="58" spans="1:5">
      <c r="A58" s="18"/>
      <c r="B58" s="18"/>
      <c r="C58" s="17" t="s">
        <v>94</v>
      </c>
      <c r="D58" s="17" t="s">
        <v>93</v>
      </c>
      <c r="E58" s="18"/>
    </row>
    <row r="59" spans="1:5">
      <c r="A59" s="465" t="s">
        <v>96</v>
      </c>
      <c r="B59" s="465"/>
      <c r="C59" s="465"/>
      <c r="D59" s="465"/>
      <c r="E59" s="18"/>
    </row>
    <row r="60" spans="1:5" ht="15.75">
      <c r="A60" s="18"/>
      <c r="B60" s="464" t="s">
        <v>95</v>
      </c>
      <c r="C60" s="464"/>
      <c r="D60" s="18"/>
      <c r="E60" s="18"/>
    </row>
    <row r="61" spans="1:5">
      <c r="A61" s="18"/>
      <c r="B61" s="18"/>
      <c r="C61" s="17" t="s">
        <v>94</v>
      </c>
      <c r="D61" s="17" t="s">
        <v>93</v>
      </c>
      <c r="E61" s="18"/>
    </row>
    <row r="62" spans="1:5">
      <c r="A62" s="18"/>
      <c r="B62" s="18"/>
      <c r="C62" s="17" t="s">
        <v>94</v>
      </c>
      <c r="D62" s="17" t="s">
        <v>93</v>
      </c>
      <c r="E62" s="18"/>
    </row>
    <row r="64" spans="1:5">
      <c r="D64" s="14" t="s">
        <v>92</v>
      </c>
    </row>
    <row r="66" spans="1:4" ht="15.75">
      <c r="A66" s="13" t="s">
        <v>91</v>
      </c>
    </row>
    <row r="67" spans="1:4">
      <c r="C67" t="s">
        <v>90</v>
      </c>
    </row>
    <row r="68" spans="1:4">
      <c r="C68" s="16" t="s">
        <v>89</v>
      </c>
      <c r="D68" s="15" t="s">
        <v>88</v>
      </c>
    </row>
    <row r="69" spans="1:4" ht="30">
      <c r="C69" s="16" t="s">
        <v>87</v>
      </c>
      <c r="D69" t="s">
        <v>86</v>
      </c>
    </row>
    <row r="70" spans="1:4" ht="45">
      <c r="C70" s="16" t="s">
        <v>85</v>
      </c>
      <c r="D70" s="15" t="s">
        <v>84</v>
      </c>
    </row>
    <row r="71" spans="1:4">
      <c r="C71" s="14"/>
    </row>
    <row r="73" spans="1:4" ht="15.75">
      <c r="A73" s="13" t="s">
        <v>83</v>
      </c>
    </row>
    <row r="74" spans="1:4" ht="47.25">
      <c r="C74" s="3" t="s">
        <v>82</v>
      </c>
      <c r="D74" s="69" t="s">
        <v>81</v>
      </c>
    </row>
    <row r="75" spans="1:4" ht="30">
      <c r="C75" s="3" t="s">
        <v>80</v>
      </c>
      <c r="D75" s="69" t="s">
        <v>79</v>
      </c>
    </row>
    <row r="78" spans="1:4" ht="15.75">
      <c r="A78" s="13" t="s">
        <v>286</v>
      </c>
    </row>
    <row r="79" spans="1:4" ht="15.75">
      <c r="C79" t="s">
        <v>78</v>
      </c>
    </row>
    <row r="80" spans="1:4">
      <c r="C80" t="s">
        <v>77</v>
      </c>
    </row>
    <row r="83" spans="1:9" ht="15.75">
      <c r="A83" s="13" t="s">
        <v>76</v>
      </c>
      <c r="B83" s="13"/>
    </row>
    <row r="84" spans="1:9" ht="33" customHeight="1">
      <c r="C84" s="460" t="s">
        <v>75</v>
      </c>
      <c r="D84" s="460"/>
      <c r="E84" s="460"/>
      <c r="F84" s="460"/>
      <c r="G84" s="460"/>
      <c r="H84" s="460"/>
      <c r="I84" s="460"/>
    </row>
  </sheetData>
  <mergeCells count="16">
    <mergeCell ref="C84:I84"/>
    <mergeCell ref="B60:C60"/>
    <mergeCell ref="A55:D55"/>
    <mergeCell ref="A59:D59"/>
    <mergeCell ref="B56:C56"/>
    <mergeCell ref="C2:E2"/>
    <mergeCell ref="C34:E34"/>
    <mergeCell ref="C41:E41"/>
    <mergeCell ref="C29:F29"/>
    <mergeCell ref="A6:F6"/>
    <mergeCell ref="C25:F25"/>
    <mergeCell ref="C26:F26"/>
    <mergeCell ref="C27:F27"/>
    <mergeCell ref="C28:F28"/>
    <mergeCell ref="C30:F30"/>
    <mergeCell ref="C33:E3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221C-036D-4FDF-9473-C60976550E63}">
  <sheetPr codeName="Sheet3">
    <tabColor theme="4"/>
  </sheetPr>
  <dimension ref="A1:J165"/>
  <sheetViews>
    <sheetView showGridLines="0" workbookViewId="0"/>
  </sheetViews>
  <sheetFormatPr defaultColWidth="9.140625" defaultRowHeight="15"/>
  <cols>
    <col min="1" max="1" width="3" customWidth="1"/>
    <col min="2" max="2" width="45.7109375" customWidth="1"/>
    <col min="3" max="5" width="20.85546875" customWidth="1"/>
    <col min="6" max="6" width="10" customWidth="1"/>
  </cols>
  <sheetData>
    <row r="1" spans="1:10" ht="31.5">
      <c r="A1" s="70" t="s">
        <v>283</v>
      </c>
    </row>
    <row r="3" spans="1:10" ht="19.5">
      <c r="A3" s="68" t="s">
        <v>971</v>
      </c>
    </row>
    <row r="4" spans="1:10">
      <c r="B4" s="374" t="s">
        <v>851</v>
      </c>
    </row>
    <row r="5" spans="1:10" ht="16.5" thickBot="1">
      <c r="C5" s="280">
        <v>2025</v>
      </c>
      <c r="D5" s="281">
        <f>C5-1</f>
        <v>2024</v>
      </c>
      <c r="E5" s="281">
        <f>D5-1</f>
        <v>2023</v>
      </c>
    </row>
    <row r="6" spans="1:10">
      <c r="B6" s="279" t="s">
        <v>630</v>
      </c>
      <c r="C6" s="262"/>
      <c r="D6" s="262"/>
      <c r="E6" s="262"/>
    </row>
    <row r="7" spans="1:10">
      <c r="B7" s="263" t="s">
        <v>172</v>
      </c>
      <c r="C7" s="275">
        <v>1000000</v>
      </c>
      <c r="D7" s="267">
        <f>C7*(1-$I7)</f>
        <v>960000</v>
      </c>
      <c r="E7" s="267">
        <f>D7*(1-$I7)</f>
        <v>921600</v>
      </c>
      <c r="I7" s="51">
        <v>0.04</v>
      </c>
      <c r="J7" t="s">
        <v>645</v>
      </c>
    </row>
    <row r="8" spans="1:10" ht="15.75" thickBot="1">
      <c r="B8" s="264" t="s">
        <v>631</v>
      </c>
      <c r="C8" s="276">
        <v>1000000</v>
      </c>
      <c r="D8" s="267">
        <f>C8*(1-$I8)</f>
        <v>950000</v>
      </c>
      <c r="E8" s="267">
        <f>D8*(1-$I8)</f>
        <v>902500</v>
      </c>
      <c r="I8" s="51">
        <v>0.05</v>
      </c>
      <c r="J8" t="s">
        <v>645</v>
      </c>
    </row>
    <row r="9" spans="1:10" ht="15.75" thickTop="1">
      <c r="B9" s="265" t="s">
        <v>632</v>
      </c>
      <c r="C9" s="277">
        <f>SUM(C7:C8)</f>
        <v>2000000</v>
      </c>
      <c r="D9" s="268">
        <f>SUM(D7:D8)</f>
        <v>1910000</v>
      </c>
      <c r="E9" s="268">
        <f>SUM(E7:E8)</f>
        <v>1824100</v>
      </c>
    </row>
    <row r="10" spans="1:10">
      <c r="B10" s="3"/>
      <c r="C10" s="269"/>
      <c r="D10" s="270"/>
      <c r="E10" s="270"/>
    </row>
    <row r="11" spans="1:10">
      <c r="B11" s="279" t="s">
        <v>633</v>
      </c>
      <c r="C11" s="270"/>
      <c r="D11" s="270"/>
      <c r="E11" s="270"/>
    </row>
    <row r="12" spans="1:10">
      <c r="B12" s="263" t="s">
        <v>172</v>
      </c>
      <c r="C12" s="275">
        <f t="shared" ref="C12:E13" si="0">C7*$I12</f>
        <v>600000</v>
      </c>
      <c r="D12" s="267">
        <f t="shared" si="0"/>
        <v>576000</v>
      </c>
      <c r="E12" s="267">
        <f t="shared" si="0"/>
        <v>552960</v>
      </c>
      <c r="I12" s="51">
        <v>0.6</v>
      </c>
      <c r="J12" t="s">
        <v>646</v>
      </c>
    </row>
    <row r="13" spans="1:10" ht="15.75" thickBot="1">
      <c r="B13" s="263" t="s">
        <v>631</v>
      </c>
      <c r="C13" s="275">
        <f t="shared" si="0"/>
        <v>600000</v>
      </c>
      <c r="D13" s="267">
        <f t="shared" si="0"/>
        <v>570000</v>
      </c>
      <c r="E13" s="267">
        <f t="shared" si="0"/>
        <v>541500</v>
      </c>
      <c r="I13" s="51">
        <v>0.6</v>
      </c>
      <c r="J13" t="s">
        <v>646</v>
      </c>
    </row>
    <row r="14" spans="1:10" ht="16.5" thickTop="1" thickBot="1">
      <c r="B14" s="265" t="s">
        <v>634</v>
      </c>
      <c r="C14" s="277">
        <f>SUM(C12:C13)</f>
        <v>1200000</v>
      </c>
      <c r="D14" s="268">
        <f>SUM(D12:D13)</f>
        <v>1146000</v>
      </c>
      <c r="E14" s="268">
        <f>SUM(E12:E13)</f>
        <v>1094460</v>
      </c>
    </row>
    <row r="15" spans="1:10" ht="15.75" thickTop="1">
      <c r="B15" s="265" t="s">
        <v>635</v>
      </c>
      <c r="C15" s="277">
        <f>C9-C14</f>
        <v>800000</v>
      </c>
      <c r="D15" s="268">
        <f>D9-D14</f>
        <v>764000</v>
      </c>
      <c r="E15" s="268">
        <f>E9-E14</f>
        <v>729640</v>
      </c>
    </row>
    <row r="16" spans="1:10">
      <c r="B16" s="3"/>
      <c r="C16" s="270"/>
      <c r="D16" s="270"/>
      <c r="E16" s="270"/>
    </row>
    <row r="17" spans="2:10">
      <c r="B17" s="279" t="s">
        <v>422</v>
      </c>
      <c r="C17" s="270"/>
      <c r="D17" s="270"/>
      <c r="E17" s="270"/>
    </row>
    <row r="18" spans="2:10">
      <c r="B18" s="263" t="s">
        <v>248</v>
      </c>
      <c r="C18" s="275">
        <f t="shared" ref="C18:E22" si="1">C$9*$I18</f>
        <v>160000</v>
      </c>
      <c r="D18" s="267">
        <f t="shared" si="1"/>
        <v>152800</v>
      </c>
      <c r="E18" s="267">
        <f t="shared" si="1"/>
        <v>145928</v>
      </c>
      <c r="I18" s="51">
        <v>0.08</v>
      </c>
      <c r="J18" t="s">
        <v>646</v>
      </c>
    </row>
    <row r="19" spans="2:10">
      <c r="B19" s="263" t="s">
        <v>580</v>
      </c>
      <c r="C19" s="275">
        <f t="shared" si="1"/>
        <v>140000</v>
      </c>
      <c r="D19" s="267">
        <f t="shared" si="1"/>
        <v>133700</v>
      </c>
      <c r="E19" s="267">
        <f t="shared" si="1"/>
        <v>127687.00000000001</v>
      </c>
      <c r="I19" s="51">
        <v>7.0000000000000007E-2</v>
      </c>
      <c r="J19" t="s">
        <v>646</v>
      </c>
    </row>
    <row r="20" spans="2:10">
      <c r="B20" s="263" t="s">
        <v>584</v>
      </c>
      <c r="C20" s="275">
        <f t="shared" si="1"/>
        <v>120000</v>
      </c>
      <c r="D20" s="267">
        <f t="shared" si="1"/>
        <v>114600</v>
      </c>
      <c r="E20" s="267">
        <f t="shared" si="1"/>
        <v>109446</v>
      </c>
      <c r="I20" s="51">
        <v>0.06</v>
      </c>
      <c r="J20" t="s">
        <v>646</v>
      </c>
    </row>
    <row r="21" spans="2:10">
      <c r="B21" s="263" t="s">
        <v>636</v>
      </c>
      <c r="C21" s="275">
        <f t="shared" si="1"/>
        <v>100000</v>
      </c>
      <c r="D21" s="267">
        <f t="shared" si="1"/>
        <v>95500</v>
      </c>
      <c r="E21" s="267">
        <f t="shared" si="1"/>
        <v>91205</v>
      </c>
      <c r="I21" s="51">
        <v>0.05</v>
      </c>
      <c r="J21" t="s">
        <v>646</v>
      </c>
    </row>
    <row r="22" spans="2:10" ht="15.75" thickBot="1">
      <c r="B22" s="263" t="s">
        <v>637</v>
      </c>
      <c r="C22" s="275">
        <f t="shared" si="1"/>
        <v>80000</v>
      </c>
      <c r="D22" s="267">
        <f t="shared" si="1"/>
        <v>76400</v>
      </c>
      <c r="E22" s="267">
        <f t="shared" si="1"/>
        <v>72964</v>
      </c>
      <c r="I22" s="51">
        <v>0.04</v>
      </c>
      <c r="J22" t="s">
        <v>646</v>
      </c>
    </row>
    <row r="23" spans="2:10" ht="15.75" thickTop="1">
      <c r="B23" s="265" t="s">
        <v>448</v>
      </c>
      <c r="C23" s="277">
        <f>SUM(C18:C22)</f>
        <v>600000</v>
      </c>
      <c r="D23" s="268">
        <f>SUM(D18:D22)</f>
        <v>573000</v>
      </c>
      <c r="E23" s="268">
        <f>SUM(E18:E22)</f>
        <v>547230</v>
      </c>
    </row>
    <row r="24" spans="2:10">
      <c r="B24" s="273"/>
      <c r="C24" s="270"/>
      <c r="D24" s="274"/>
      <c r="E24" s="274"/>
    </row>
    <row r="25" spans="2:10">
      <c r="B25" s="279" t="s">
        <v>638</v>
      </c>
      <c r="C25" s="270"/>
      <c r="D25" s="270"/>
      <c r="E25" s="270"/>
    </row>
    <row r="26" spans="2:10">
      <c r="B26" s="263" t="s">
        <v>639</v>
      </c>
      <c r="C26" s="275">
        <f t="shared" ref="C26:E27" si="2">C$9*$I26</f>
        <v>80000</v>
      </c>
      <c r="D26" s="267">
        <f t="shared" si="2"/>
        <v>76400</v>
      </c>
      <c r="E26" s="267">
        <f t="shared" si="2"/>
        <v>72964</v>
      </c>
      <c r="I26" s="51">
        <v>0.04</v>
      </c>
      <c r="J26" t="s">
        <v>646</v>
      </c>
    </row>
    <row r="27" spans="2:10" ht="15.75" thickBot="1">
      <c r="B27" s="263" t="s">
        <v>640</v>
      </c>
      <c r="C27" s="275">
        <f t="shared" si="2"/>
        <v>80000</v>
      </c>
      <c r="D27" s="267">
        <f t="shared" si="2"/>
        <v>76400</v>
      </c>
      <c r="E27" s="267">
        <f t="shared" si="2"/>
        <v>72964</v>
      </c>
      <c r="I27" s="51">
        <v>0.04</v>
      </c>
      <c r="J27" t="s">
        <v>646</v>
      </c>
    </row>
    <row r="28" spans="2:10" ht="15.75" thickTop="1">
      <c r="B28" s="265" t="s">
        <v>641</v>
      </c>
      <c r="C28" s="277">
        <f>SUM(C26:C27)</f>
        <v>160000</v>
      </c>
      <c r="D28" s="268">
        <f>SUM(D26:D27)</f>
        <v>152800</v>
      </c>
      <c r="E28" s="268">
        <f>SUM(E26:E27)</f>
        <v>145928</v>
      </c>
    </row>
    <row r="29" spans="2:10">
      <c r="B29" s="3"/>
      <c r="C29" s="270"/>
      <c r="D29" s="270"/>
      <c r="E29" s="270"/>
    </row>
    <row r="30" spans="2:10" ht="30">
      <c r="B30" s="271" t="s">
        <v>648</v>
      </c>
      <c r="C30" s="278">
        <f>C15-C23+C28</f>
        <v>360000</v>
      </c>
      <c r="D30" s="272">
        <f>D15-D23+D28</f>
        <v>343800</v>
      </c>
      <c r="E30" s="272">
        <f>E15-E23+E28</f>
        <v>328338</v>
      </c>
    </row>
    <row r="31" spans="2:10" ht="15.75" thickBot="1">
      <c r="B31" s="263" t="s">
        <v>642</v>
      </c>
      <c r="C31" s="275">
        <f>C30*$I31</f>
        <v>90000</v>
      </c>
      <c r="D31" s="267">
        <f>D30*$I31</f>
        <v>85950</v>
      </c>
      <c r="E31" s="267">
        <f>E30*$I31</f>
        <v>82084.5</v>
      </c>
      <c r="I31" s="51">
        <v>0.25</v>
      </c>
      <c r="J31" t="s">
        <v>647</v>
      </c>
    </row>
    <row r="32" spans="2:10" ht="15.75" thickTop="1">
      <c r="B32" s="265" t="s">
        <v>649</v>
      </c>
      <c r="C32" s="277">
        <f>C30-C31</f>
        <v>270000</v>
      </c>
      <c r="D32" s="268">
        <f>D30-D31</f>
        <v>257850</v>
      </c>
      <c r="E32" s="268">
        <f>E30-E31</f>
        <v>246253.5</v>
      </c>
    </row>
    <row r="33" spans="1:10" ht="30.75" thickBot="1">
      <c r="B33" s="263" t="s">
        <v>643</v>
      </c>
      <c r="C33" s="275">
        <f>C$9*$I33</f>
        <v>40000</v>
      </c>
      <c r="D33" s="267">
        <f>-D$9*$I33</f>
        <v>-38200</v>
      </c>
      <c r="E33" s="267">
        <f>E$9*$I33</f>
        <v>36482</v>
      </c>
      <c r="I33" s="51">
        <v>0.02</v>
      </c>
      <c r="J33" t="s">
        <v>646</v>
      </c>
    </row>
    <row r="34" spans="1:10" ht="15.75" thickTop="1">
      <c r="B34" s="265" t="s">
        <v>644</v>
      </c>
      <c r="C34" s="277">
        <f>C32+C33</f>
        <v>310000</v>
      </c>
      <c r="D34" s="266">
        <f>D32+D33</f>
        <v>219650</v>
      </c>
      <c r="E34" s="266">
        <f>E32+E33</f>
        <v>282735.5</v>
      </c>
    </row>
    <row r="36" spans="1:10" ht="19.5">
      <c r="A36" s="68" t="s">
        <v>972</v>
      </c>
    </row>
    <row r="37" spans="1:10">
      <c r="B37" s="374" t="s">
        <v>847</v>
      </c>
    </row>
    <row r="38" spans="1:10" ht="18.75">
      <c r="B38" s="48" t="s">
        <v>137</v>
      </c>
      <c r="C38" s="47"/>
      <c r="D38" s="47"/>
      <c r="E38" s="19"/>
      <c r="F38" s="19"/>
    </row>
    <row r="39" spans="1:10">
      <c r="B39" s="466" t="s">
        <v>136</v>
      </c>
      <c r="C39" s="46">
        <f ca="1">YEAR(NOW())</f>
        <v>2025</v>
      </c>
      <c r="D39" s="46">
        <f ca="1">C39-1</f>
        <v>2024</v>
      </c>
      <c r="E39" s="19"/>
      <c r="F39" s="19"/>
    </row>
    <row r="40" spans="1:10" ht="12.75" customHeight="1" thickBot="1">
      <c r="B40" s="466"/>
      <c r="C40" s="45" t="s">
        <v>135</v>
      </c>
      <c r="D40" s="45" t="s">
        <v>134</v>
      </c>
      <c r="E40" s="19"/>
      <c r="F40" s="19"/>
    </row>
    <row r="41" spans="1:10" ht="18.75" thickBot="1">
      <c r="B41" s="31" t="s">
        <v>133</v>
      </c>
      <c r="C41" s="44"/>
      <c r="D41" s="44"/>
      <c r="E41" s="19"/>
      <c r="F41" s="19"/>
    </row>
    <row r="42" spans="1:10" ht="15.75" thickBot="1">
      <c r="B42" s="43" t="s">
        <v>132</v>
      </c>
      <c r="C42" s="42">
        <v>10000</v>
      </c>
      <c r="D42" s="42">
        <f>C42*0.95</f>
        <v>9500</v>
      </c>
      <c r="E42" s="19"/>
      <c r="F42" s="19"/>
    </row>
    <row r="43" spans="1:10" ht="15.75" thickBot="1">
      <c r="B43" s="41" t="s">
        <v>131</v>
      </c>
      <c r="C43" s="23">
        <f>C$42*$E43</f>
        <v>384.61538461538464</v>
      </c>
      <c r="D43" s="23">
        <f>D$42*$E43</f>
        <v>365.38461538461542</v>
      </c>
      <c r="E43" s="22">
        <v>3.8461538461538464E-2</v>
      </c>
      <c r="F43" s="19"/>
    </row>
    <row r="44" spans="1:10">
      <c r="B44" s="40" t="s">
        <v>130</v>
      </c>
      <c r="C44" s="35">
        <f>C$42*$E44</f>
        <v>128.2051282051282</v>
      </c>
      <c r="D44" s="35">
        <f>D$42*$E44</f>
        <v>121.7948717948718</v>
      </c>
      <c r="E44" s="22">
        <v>1.282051282051282E-2</v>
      </c>
      <c r="F44" s="19"/>
    </row>
    <row r="45" spans="1:10" ht="15.75" thickBot="1">
      <c r="B45" s="39" t="s">
        <v>129</v>
      </c>
      <c r="C45" s="38">
        <f>C42-C43-C44</f>
        <v>9487.1794871794864</v>
      </c>
      <c r="D45" s="38">
        <f>D42-D43-D44</f>
        <v>9012.8205128205136</v>
      </c>
      <c r="E45" s="19"/>
      <c r="F45" s="19"/>
    </row>
    <row r="46" spans="1:10" ht="16.5" thickTop="1">
      <c r="B46" s="33"/>
      <c r="C46" s="32"/>
      <c r="D46" s="32"/>
      <c r="E46" s="19"/>
      <c r="F46" s="19"/>
    </row>
    <row r="47" spans="1:10" ht="18">
      <c r="B47" s="31" t="s">
        <v>128</v>
      </c>
      <c r="C47" s="30"/>
      <c r="D47" s="30"/>
      <c r="E47" s="19"/>
      <c r="F47" s="19"/>
    </row>
    <row r="48" spans="1:10" ht="15.75" thickBot="1">
      <c r="B48" s="37" t="s">
        <v>127</v>
      </c>
      <c r="C48" s="23">
        <f t="shared" ref="C48:D50" si="3">C$42*$E48</f>
        <v>1025.6410256410256</v>
      </c>
      <c r="D48" s="23">
        <f t="shared" si="3"/>
        <v>974.35897435897436</v>
      </c>
      <c r="E48" s="22">
        <v>0.10256410256410256</v>
      </c>
      <c r="F48" s="19"/>
    </row>
    <row r="49" spans="2:6" ht="15.75" thickBot="1">
      <c r="B49" s="37" t="s">
        <v>126</v>
      </c>
      <c r="C49" s="23">
        <f t="shared" si="3"/>
        <v>1153.8461538461538</v>
      </c>
      <c r="D49" s="23">
        <f t="shared" si="3"/>
        <v>1096.1538461538462</v>
      </c>
      <c r="E49" s="22">
        <v>0.11538461538461539</v>
      </c>
      <c r="F49" s="19"/>
    </row>
    <row r="50" spans="2:6">
      <c r="B50" s="36" t="s">
        <v>125</v>
      </c>
      <c r="C50" s="35">
        <f t="shared" si="3"/>
        <v>256.41025641025641</v>
      </c>
      <c r="D50" s="35">
        <f t="shared" si="3"/>
        <v>243.58974358974359</v>
      </c>
      <c r="E50" s="22">
        <v>2.564102564102564E-2</v>
      </c>
      <c r="F50" s="19"/>
    </row>
    <row r="51" spans="2:6">
      <c r="B51" s="34" t="s">
        <v>124</v>
      </c>
      <c r="C51" s="25">
        <f>SUM(C48:C50)</f>
        <v>2435.897435897436</v>
      </c>
      <c r="D51" s="25">
        <f>SUM(D48:D50)</f>
        <v>2314.102564102564</v>
      </c>
      <c r="E51" s="19"/>
      <c r="F51" s="19"/>
    </row>
    <row r="52" spans="2:6" ht="15.75" thickBot="1">
      <c r="B52" s="27" t="s">
        <v>123</v>
      </c>
      <c r="C52" s="20">
        <f>C45-C51</f>
        <v>7051.2820512820508</v>
      </c>
      <c r="D52" s="20">
        <f>D45-D51</f>
        <v>6698.7179487179492</v>
      </c>
      <c r="E52" s="19"/>
      <c r="F52" s="19"/>
    </row>
    <row r="53" spans="2:6" ht="16.5" thickTop="1">
      <c r="B53" s="33"/>
      <c r="C53" s="32"/>
      <c r="D53" s="32"/>
      <c r="E53" s="19"/>
      <c r="F53" s="19"/>
    </row>
    <row r="54" spans="2:6" ht="18">
      <c r="B54" s="31" t="s">
        <v>122</v>
      </c>
      <c r="C54" s="30"/>
      <c r="D54" s="30"/>
      <c r="E54" s="19"/>
      <c r="F54" s="19"/>
    </row>
    <row r="55" spans="2:6" ht="15.75" thickBot="1">
      <c r="B55" s="24" t="s">
        <v>121</v>
      </c>
      <c r="C55" s="23">
        <f t="shared" ref="C55:D69" si="4">C$42*$E55</f>
        <v>1282.051282051282</v>
      </c>
      <c r="D55" s="23">
        <f t="shared" si="4"/>
        <v>1217.9487179487178</v>
      </c>
      <c r="E55" s="22">
        <v>0.12820512820512819</v>
      </c>
      <c r="F55" s="19"/>
    </row>
    <row r="56" spans="2:6" ht="15.75" thickBot="1">
      <c r="B56" s="24" t="s">
        <v>120</v>
      </c>
      <c r="C56" s="23">
        <f t="shared" si="4"/>
        <v>64.102564102564102</v>
      </c>
      <c r="D56" s="23">
        <f t="shared" si="4"/>
        <v>60.897435897435898</v>
      </c>
      <c r="E56" s="22">
        <v>6.41025641025641E-3</v>
      </c>
      <c r="F56" s="19"/>
    </row>
    <row r="57" spans="2:6" ht="15.75" thickBot="1">
      <c r="B57" s="24" t="s">
        <v>119</v>
      </c>
      <c r="C57" s="23">
        <f t="shared" si="4"/>
        <v>12.820512820512821</v>
      </c>
      <c r="D57" s="23">
        <f t="shared" si="4"/>
        <v>12.179487179487179</v>
      </c>
      <c r="E57" s="22">
        <v>1.2820512820512821E-3</v>
      </c>
      <c r="F57" s="19"/>
    </row>
    <row r="58" spans="2:6" ht="15.75" thickBot="1">
      <c r="B58" s="24" t="s">
        <v>118</v>
      </c>
      <c r="C58" s="23">
        <f t="shared" si="4"/>
        <v>6.4102564102564106</v>
      </c>
      <c r="D58" s="23">
        <f t="shared" si="4"/>
        <v>6.0897435897435894</v>
      </c>
      <c r="E58" s="22">
        <v>6.4102564102564103E-4</v>
      </c>
      <c r="F58" s="19"/>
    </row>
    <row r="59" spans="2:6" ht="15.75" thickBot="1">
      <c r="B59" s="24" t="s">
        <v>117</v>
      </c>
      <c r="C59" s="23">
        <f t="shared" si="4"/>
        <v>641.02564102564099</v>
      </c>
      <c r="D59" s="23">
        <f t="shared" si="4"/>
        <v>608.97435897435889</v>
      </c>
      <c r="E59" s="22">
        <v>6.4102564102564097E-2</v>
      </c>
      <c r="F59" s="19"/>
    </row>
    <row r="60" spans="2:6" ht="15.75" thickBot="1">
      <c r="B60" s="24" t="s">
        <v>116</v>
      </c>
      <c r="C60" s="23">
        <f t="shared" si="4"/>
        <v>128.2051282051282</v>
      </c>
      <c r="D60" s="23">
        <f t="shared" si="4"/>
        <v>121.7948717948718</v>
      </c>
      <c r="E60" s="22">
        <v>1.282051282051282E-2</v>
      </c>
      <c r="F60" s="19"/>
    </row>
    <row r="61" spans="2:6" ht="15.75" thickBot="1">
      <c r="B61" s="24" t="s">
        <v>115</v>
      </c>
      <c r="C61" s="23">
        <f t="shared" si="4"/>
        <v>128.2051282051282</v>
      </c>
      <c r="D61" s="23">
        <f t="shared" si="4"/>
        <v>121.7948717948718</v>
      </c>
      <c r="E61" s="22">
        <v>1.282051282051282E-2</v>
      </c>
      <c r="F61" s="19"/>
    </row>
    <row r="62" spans="2:6" ht="15.75" thickBot="1">
      <c r="B62" s="24" t="s">
        <v>114</v>
      </c>
      <c r="C62" s="23">
        <f t="shared" si="4"/>
        <v>64.102564102564102</v>
      </c>
      <c r="D62" s="23">
        <f t="shared" si="4"/>
        <v>60.897435897435898</v>
      </c>
      <c r="E62" s="22">
        <v>6.41025641025641E-3</v>
      </c>
      <c r="F62" s="19"/>
    </row>
    <row r="63" spans="2:6" ht="15.75" thickBot="1">
      <c r="B63" s="24" t="s">
        <v>113</v>
      </c>
      <c r="C63" s="23">
        <f t="shared" si="4"/>
        <v>192.30769230769232</v>
      </c>
      <c r="D63" s="23">
        <f t="shared" si="4"/>
        <v>182.69230769230771</v>
      </c>
      <c r="E63" s="22">
        <v>1.9230769230769232E-2</v>
      </c>
      <c r="F63" s="19"/>
    </row>
    <row r="64" spans="2:6" ht="15.75" thickBot="1">
      <c r="B64" s="24" t="s">
        <v>112</v>
      </c>
      <c r="C64" s="23">
        <f t="shared" si="4"/>
        <v>128.2051282051282</v>
      </c>
      <c r="D64" s="23">
        <f t="shared" si="4"/>
        <v>121.7948717948718</v>
      </c>
      <c r="E64" s="22">
        <v>1.282051282051282E-2</v>
      </c>
      <c r="F64" s="19"/>
    </row>
    <row r="65" spans="1:6" ht="15.75" thickBot="1">
      <c r="B65" s="24" t="s">
        <v>111</v>
      </c>
      <c r="C65" s="23">
        <f t="shared" si="4"/>
        <v>1025.6410256410256</v>
      </c>
      <c r="D65" s="23">
        <f t="shared" si="4"/>
        <v>974.35897435897436</v>
      </c>
      <c r="E65" s="22">
        <v>0.10256410256410256</v>
      </c>
      <c r="F65" s="19"/>
    </row>
    <row r="66" spans="1:6" ht="15.75" thickBot="1">
      <c r="B66" s="24" t="s">
        <v>110</v>
      </c>
      <c r="C66" s="23">
        <f t="shared" si="4"/>
        <v>256.41025641025641</v>
      </c>
      <c r="D66" s="23">
        <f t="shared" si="4"/>
        <v>243.58974358974359</v>
      </c>
      <c r="E66" s="22">
        <v>2.564102564102564E-2</v>
      </c>
      <c r="F66" s="19"/>
    </row>
    <row r="67" spans="1:6" ht="15.75" hidden="1" thickBot="1">
      <c r="B67" s="24" t="s">
        <v>109</v>
      </c>
      <c r="C67" s="23">
        <f t="shared" si="4"/>
        <v>0</v>
      </c>
      <c r="D67" s="23">
        <f t="shared" si="4"/>
        <v>0</v>
      </c>
      <c r="E67" s="22">
        <v>0</v>
      </c>
      <c r="F67" s="19"/>
    </row>
    <row r="68" spans="1:6" ht="15.75" hidden="1" thickBot="1">
      <c r="B68" s="24" t="s">
        <v>109</v>
      </c>
      <c r="C68" s="23">
        <f t="shared" si="4"/>
        <v>0</v>
      </c>
      <c r="D68" s="23">
        <f t="shared" si="4"/>
        <v>0</v>
      </c>
      <c r="E68" s="22">
        <v>0</v>
      </c>
      <c r="F68" s="19"/>
    </row>
    <row r="69" spans="1:6">
      <c r="B69" s="26" t="s">
        <v>108</v>
      </c>
      <c r="C69" s="25">
        <f t="shared" si="4"/>
        <v>12.820512820512821</v>
      </c>
      <c r="D69" s="25">
        <f t="shared" si="4"/>
        <v>12.179487179487179</v>
      </c>
      <c r="E69" s="22">
        <v>1.2820512820512821E-3</v>
      </c>
      <c r="F69" s="19"/>
    </row>
    <row r="70" spans="1:6">
      <c r="B70" s="29" t="s">
        <v>107</v>
      </c>
      <c r="C70" s="28">
        <f>SUM(C55:C69)</f>
        <v>3942.3076923076928</v>
      </c>
      <c r="D70" s="28">
        <f>SUM(D55:D69)</f>
        <v>3745.1923076923072</v>
      </c>
      <c r="E70" s="22"/>
      <c r="F70" s="19"/>
    </row>
    <row r="71" spans="1:6" ht="15.75" thickBot="1">
      <c r="B71" s="27" t="s">
        <v>106</v>
      </c>
      <c r="C71" s="20">
        <f>C52-C70</f>
        <v>3108.974358974358</v>
      </c>
      <c r="D71" s="20">
        <f>D52-D70</f>
        <v>2953.525641025642</v>
      </c>
      <c r="E71" s="19"/>
      <c r="F71" s="19"/>
    </row>
    <row r="72" spans="1:6" ht="16.5" thickTop="1" thickBot="1">
      <c r="B72" s="24" t="s">
        <v>105</v>
      </c>
      <c r="C72" s="23">
        <f>C$42*$E72</f>
        <v>256.41025641025641</v>
      </c>
      <c r="D72" s="23">
        <f>D$42*$E72</f>
        <v>243.58974358974359</v>
      </c>
      <c r="E72" s="22">
        <v>2.564102564102564E-2</v>
      </c>
      <c r="F72" s="19"/>
    </row>
    <row r="73" spans="1:6">
      <c r="B73" s="26" t="s">
        <v>104</v>
      </c>
      <c r="C73" s="25">
        <f>C$42*$E73</f>
        <v>128.2051282051282</v>
      </c>
      <c r="D73" s="25">
        <f>D$42*$E73</f>
        <v>121.7948717948718</v>
      </c>
      <c r="E73" s="22">
        <v>1.282051282051282E-2</v>
      </c>
      <c r="F73" s="19"/>
    </row>
    <row r="74" spans="1:6" ht="15.75" thickBot="1">
      <c r="B74" s="21" t="s">
        <v>103</v>
      </c>
      <c r="C74" s="20">
        <f>SUM(C71:C73)</f>
        <v>3493.5897435897427</v>
      </c>
      <c r="D74" s="20">
        <f>SUM(D71:D73)</f>
        <v>3318.9102564102573</v>
      </c>
      <c r="E74" s="19"/>
      <c r="F74" s="19"/>
    </row>
    <row r="75" spans="1:6" ht="16.5" thickTop="1" thickBot="1">
      <c r="B75" s="24" t="s">
        <v>102</v>
      </c>
      <c r="C75" s="23">
        <f>C$42*$E75</f>
        <v>512.82051282051282</v>
      </c>
      <c r="D75" s="23">
        <f>D$42*$E75</f>
        <v>487.17948717948718</v>
      </c>
      <c r="E75" s="22">
        <v>5.128205128205128E-2</v>
      </c>
      <c r="F75" s="19"/>
    </row>
    <row r="76" spans="1:6" ht="15.75" thickBot="1">
      <c r="B76" s="21" t="s">
        <v>101</v>
      </c>
      <c r="C76" s="20">
        <f>C74-C75</f>
        <v>2980.76923076923</v>
      </c>
      <c r="D76" s="20">
        <f>D74-D75</f>
        <v>2831.73076923077</v>
      </c>
      <c r="E76" s="19"/>
      <c r="F76" s="19"/>
    </row>
    <row r="77" spans="1:6" ht="15.75" thickTop="1"/>
    <row r="80" spans="1:6" ht="23.25">
      <c r="A80" s="66" t="s">
        <v>850</v>
      </c>
    </row>
    <row r="81" spans="2:4">
      <c r="B81" t="s">
        <v>253</v>
      </c>
    </row>
    <row r="82" spans="2:4" ht="15.75" thickBot="1">
      <c r="B82" s="374" t="s">
        <v>906</v>
      </c>
    </row>
    <row r="83" spans="2:4" ht="16.5" thickBot="1">
      <c r="C83" s="65">
        <f ca="1">TODAY()</f>
        <v>45780</v>
      </c>
      <c r="D83" s="64" t="s">
        <v>252</v>
      </c>
    </row>
    <row r="84" spans="2:4" ht="15.75" thickBot="1">
      <c r="B84" t="s">
        <v>251</v>
      </c>
      <c r="C84" s="63">
        <v>800000000</v>
      </c>
      <c r="D84" s="51">
        <f>C84/C$84</f>
        <v>1</v>
      </c>
    </row>
    <row r="85" spans="2:4">
      <c r="B85" t="s">
        <v>250</v>
      </c>
      <c r="C85" s="62">
        <f>$C$84*0.55</f>
        <v>440000000.00000006</v>
      </c>
      <c r="D85" s="51">
        <f>C85/C$84</f>
        <v>0.55000000000000004</v>
      </c>
    </row>
    <row r="86" spans="2:4">
      <c r="B86" t="s">
        <v>249</v>
      </c>
      <c r="C86" s="62">
        <f>C84-C85</f>
        <v>359999999.99999994</v>
      </c>
      <c r="D86" s="51">
        <f>C86/C$84</f>
        <v>0.4499999999999999</v>
      </c>
    </row>
    <row r="87" spans="2:4">
      <c r="B87" t="s">
        <v>122</v>
      </c>
      <c r="D87" s="51"/>
    </row>
    <row r="88" spans="2:4">
      <c r="B88" t="s">
        <v>248</v>
      </c>
      <c r="C88" s="62">
        <f>$C$84*0.13</f>
        <v>104000000</v>
      </c>
      <c r="D88" s="51">
        <f t="shared" ref="D88:D98" si="5">C88/C$84</f>
        <v>0.13</v>
      </c>
    </row>
    <row r="89" spans="2:4">
      <c r="B89" t="s">
        <v>247</v>
      </c>
      <c r="C89" s="62">
        <f>$C$84*0.2</f>
        <v>160000000</v>
      </c>
      <c r="D89" s="51">
        <f t="shared" si="5"/>
        <v>0.2</v>
      </c>
    </row>
    <row r="90" spans="2:4">
      <c r="B90" t="s">
        <v>246</v>
      </c>
      <c r="C90" s="62">
        <f>$C$84*0.02</f>
        <v>16000000</v>
      </c>
      <c r="D90" s="51">
        <f t="shared" si="5"/>
        <v>0.02</v>
      </c>
    </row>
    <row r="91" spans="2:4">
      <c r="B91" t="s">
        <v>245</v>
      </c>
      <c r="C91" s="62">
        <f>$C$84*0.01</f>
        <v>8000000</v>
      </c>
      <c r="D91" s="51">
        <f t="shared" si="5"/>
        <v>0.01</v>
      </c>
    </row>
    <row r="92" spans="2:4">
      <c r="B92" t="s">
        <v>244</v>
      </c>
      <c r="C92" s="62">
        <f>C86-SUM(C88:C91)</f>
        <v>71999999.99999994</v>
      </c>
      <c r="D92" s="51">
        <f t="shared" si="5"/>
        <v>8.9999999999999927E-2</v>
      </c>
    </row>
    <row r="93" spans="2:4">
      <c r="B93" t="s">
        <v>243</v>
      </c>
      <c r="C93" s="62">
        <f>$C$84*0.01</f>
        <v>8000000</v>
      </c>
      <c r="D93" s="51">
        <f t="shared" si="5"/>
        <v>0.01</v>
      </c>
    </row>
    <row r="94" spans="2:4">
      <c r="B94" t="s">
        <v>242</v>
      </c>
      <c r="C94" s="62">
        <f>C92+C93</f>
        <v>79999999.99999994</v>
      </c>
      <c r="D94" s="51">
        <f t="shared" si="5"/>
        <v>9.9999999999999922E-2</v>
      </c>
    </row>
    <row r="95" spans="2:4">
      <c r="B95" t="s">
        <v>241</v>
      </c>
      <c r="C95" s="62">
        <f>$C$84*0.011</f>
        <v>8800000</v>
      </c>
      <c r="D95" s="51">
        <f t="shared" si="5"/>
        <v>1.0999999999999999E-2</v>
      </c>
    </row>
    <row r="96" spans="2:4">
      <c r="B96" t="s">
        <v>240</v>
      </c>
      <c r="C96" s="62">
        <f>C94-C95</f>
        <v>71199999.99999994</v>
      </c>
      <c r="D96" s="51">
        <f t="shared" si="5"/>
        <v>8.8999999999999926E-2</v>
      </c>
    </row>
    <row r="97" spans="1:5">
      <c r="B97" t="s">
        <v>239</v>
      </c>
      <c r="C97" s="62">
        <f>0.3*C96</f>
        <v>21359999.999999981</v>
      </c>
      <c r="D97" s="51">
        <f t="shared" si="5"/>
        <v>2.6699999999999977E-2</v>
      </c>
    </row>
    <row r="98" spans="1:5">
      <c r="B98" t="s">
        <v>238</v>
      </c>
      <c r="C98" s="62">
        <f>C96-C97</f>
        <v>49839999.999999955</v>
      </c>
      <c r="D98" s="51">
        <f t="shared" si="5"/>
        <v>6.2299999999999946E-2</v>
      </c>
    </row>
    <row r="101" spans="1:5" ht="19.5">
      <c r="A101" s="68" t="s">
        <v>973</v>
      </c>
    </row>
    <row r="102" spans="1:5" ht="19.5">
      <c r="A102" s="68"/>
      <c r="B102" s="374" t="s">
        <v>907</v>
      </c>
    </row>
    <row r="103" spans="1:5">
      <c r="C103" s="106" t="s">
        <v>405</v>
      </c>
      <c r="D103" s="106" t="s">
        <v>406</v>
      </c>
      <c r="E103" s="106" t="s">
        <v>407</v>
      </c>
    </row>
    <row r="104" spans="1:5">
      <c r="C104" s="107" t="s">
        <v>455</v>
      </c>
      <c r="D104" s="107" t="s">
        <v>456</v>
      </c>
      <c r="E104" s="107" t="str">
        <f>+C104</f>
        <v>07/01/24 to 09/30/24</v>
      </c>
    </row>
    <row r="105" spans="1:5">
      <c r="B105" s="108" t="s">
        <v>408</v>
      </c>
    </row>
    <row r="106" spans="1:5">
      <c r="B106" s="109" t="s">
        <v>409</v>
      </c>
      <c r="C106" s="110">
        <v>12943</v>
      </c>
      <c r="D106" s="110">
        <v>11689</v>
      </c>
      <c r="E106" s="110">
        <f>+C106-D106</f>
        <v>1254</v>
      </c>
    </row>
    <row r="107" spans="1:5">
      <c r="B107" s="109" t="s">
        <v>410</v>
      </c>
      <c r="C107" s="111">
        <v>25000</v>
      </c>
      <c r="D107" s="111">
        <v>22111</v>
      </c>
      <c r="E107" s="111">
        <f>+C107-D107</f>
        <v>2889</v>
      </c>
    </row>
    <row r="108" spans="1:5">
      <c r="B108" s="109" t="s">
        <v>411</v>
      </c>
      <c r="C108" s="111">
        <v>8000</v>
      </c>
      <c r="D108" s="111">
        <v>3899</v>
      </c>
      <c r="E108" s="111">
        <f>+C108-D108</f>
        <v>4101</v>
      </c>
    </row>
    <row r="109" spans="1:5">
      <c r="B109" s="109" t="s">
        <v>412</v>
      </c>
      <c r="C109" s="112">
        <v>400</v>
      </c>
      <c r="D109" s="112">
        <v>203</v>
      </c>
      <c r="E109" s="112">
        <f>+C109-D109</f>
        <v>197</v>
      </c>
    </row>
    <row r="110" spans="1:5">
      <c r="B110" s="108" t="s">
        <v>413</v>
      </c>
      <c r="C110" s="113">
        <f>SUM(C106:C109)</f>
        <v>46343</v>
      </c>
      <c r="D110" s="113">
        <f>SUM(D106:D109)</f>
        <v>37902</v>
      </c>
      <c r="E110" s="113">
        <f>+C110-D110</f>
        <v>8441</v>
      </c>
    </row>
    <row r="111" spans="1:5">
      <c r="C111" s="114"/>
      <c r="D111" s="114"/>
      <c r="E111" s="114"/>
    </row>
    <row r="112" spans="1:5">
      <c r="B112" s="108" t="s">
        <v>414</v>
      </c>
      <c r="C112" s="114"/>
      <c r="D112" s="114"/>
      <c r="E112" s="114"/>
    </row>
    <row r="113" spans="2:5">
      <c r="B113" s="109" t="s">
        <v>409</v>
      </c>
      <c r="C113" s="111">
        <v>4000</v>
      </c>
      <c r="D113" s="111">
        <v>3506.7</v>
      </c>
      <c r="E113" s="111">
        <f t="shared" ref="E113:E121" si="6">+C113-D113</f>
        <v>493.30000000000018</v>
      </c>
    </row>
    <row r="114" spans="2:5">
      <c r="B114" s="109" t="s">
        <v>410</v>
      </c>
      <c r="C114" s="111">
        <v>13000</v>
      </c>
      <c r="D114" s="111">
        <v>11055.5</v>
      </c>
      <c r="E114" s="111">
        <f t="shared" si="6"/>
        <v>1944.5</v>
      </c>
    </row>
    <row r="115" spans="2:5">
      <c r="B115" s="109" t="s">
        <v>411</v>
      </c>
      <c r="C115" s="111">
        <v>3200</v>
      </c>
      <c r="D115" s="111">
        <v>1559.6000000000001</v>
      </c>
      <c r="E115" s="111">
        <f t="shared" si="6"/>
        <v>1640.3999999999999</v>
      </c>
    </row>
    <row r="116" spans="2:5">
      <c r="B116" s="109" t="s">
        <v>415</v>
      </c>
      <c r="C116" s="111">
        <v>1900</v>
      </c>
      <c r="D116" s="111">
        <v>1766</v>
      </c>
      <c r="E116" s="111">
        <f t="shared" si="6"/>
        <v>134</v>
      </c>
    </row>
    <row r="117" spans="2:5">
      <c r="B117" s="109" t="s">
        <v>416</v>
      </c>
      <c r="C117" s="111">
        <v>225</v>
      </c>
      <c r="D117" s="111">
        <v>215</v>
      </c>
      <c r="E117" s="111">
        <f t="shared" si="6"/>
        <v>10</v>
      </c>
    </row>
    <row r="118" spans="2:5">
      <c r="B118" s="109" t="s">
        <v>417</v>
      </c>
      <c r="C118" s="111">
        <v>612</v>
      </c>
      <c r="D118" s="111">
        <v>612</v>
      </c>
      <c r="E118" s="111">
        <f t="shared" si="6"/>
        <v>0</v>
      </c>
    </row>
    <row r="119" spans="2:5">
      <c r="B119" s="109" t="s">
        <v>418</v>
      </c>
      <c r="C119" s="111">
        <v>400</v>
      </c>
      <c r="D119" s="111">
        <v>310</v>
      </c>
      <c r="E119" s="111">
        <f t="shared" si="6"/>
        <v>90</v>
      </c>
    </row>
    <row r="120" spans="2:5">
      <c r="B120" s="109" t="s">
        <v>419</v>
      </c>
      <c r="C120" s="112">
        <v>50</v>
      </c>
      <c r="D120" s="112">
        <v>24</v>
      </c>
      <c r="E120" s="112">
        <f t="shared" si="6"/>
        <v>26</v>
      </c>
    </row>
    <row r="121" spans="2:5">
      <c r="B121" s="108" t="s">
        <v>420</v>
      </c>
      <c r="C121" s="115">
        <f>SUM(C113:C120)</f>
        <v>23387</v>
      </c>
      <c r="D121" s="115">
        <f>SUM(D113:D120)</f>
        <v>19048.800000000003</v>
      </c>
      <c r="E121" s="115">
        <f t="shared" si="6"/>
        <v>4338.1999999999971</v>
      </c>
    </row>
    <row r="122" spans="2:5">
      <c r="B122" s="116"/>
      <c r="C122" s="114"/>
      <c r="D122" s="114"/>
      <c r="E122" s="114"/>
    </row>
    <row r="123" spans="2:5">
      <c r="B123" s="108" t="s">
        <v>421</v>
      </c>
      <c r="C123" s="117">
        <f xml:space="preserve"> C110 - C121</f>
        <v>22956</v>
      </c>
      <c r="D123" s="117">
        <f xml:space="preserve"> D110 - D121</f>
        <v>18853.199999999997</v>
      </c>
      <c r="E123" s="117">
        <f>+C123-D123</f>
        <v>4102.8000000000029</v>
      </c>
    </row>
    <row r="124" spans="2:5">
      <c r="B124" s="116"/>
      <c r="C124" s="117"/>
      <c r="D124" s="117"/>
      <c r="E124" s="117"/>
    </row>
    <row r="125" spans="2:5">
      <c r="B125" s="108" t="s">
        <v>422</v>
      </c>
      <c r="C125" s="117"/>
      <c r="D125" s="117"/>
      <c r="E125" s="117"/>
    </row>
    <row r="126" spans="2:5">
      <c r="B126" s="109" t="s">
        <v>423</v>
      </c>
      <c r="C126" s="118">
        <v>300</v>
      </c>
      <c r="D126" s="118">
        <v>206</v>
      </c>
      <c r="E126" s="118">
        <f t="shared" ref="E126:E154" si="7">+C126-D126</f>
        <v>94</v>
      </c>
    </row>
    <row r="127" spans="2:5">
      <c r="B127" s="109" t="s">
        <v>424</v>
      </c>
      <c r="C127" s="118">
        <v>50</v>
      </c>
      <c r="D127" s="118">
        <v>45</v>
      </c>
      <c r="E127" s="118">
        <f t="shared" si="7"/>
        <v>5</v>
      </c>
    </row>
    <row r="128" spans="2:5">
      <c r="B128" s="109" t="s">
        <v>425</v>
      </c>
      <c r="C128" s="118">
        <v>25</v>
      </c>
      <c r="D128" s="118">
        <v>0</v>
      </c>
      <c r="E128" s="118">
        <f t="shared" si="7"/>
        <v>25</v>
      </c>
    </row>
    <row r="129" spans="2:5">
      <c r="B129" s="109" t="s">
        <v>426</v>
      </c>
      <c r="C129" s="118">
        <v>30</v>
      </c>
      <c r="D129" s="118">
        <v>25</v>
      </c>
      <c r="E129" s="118">
        <f t="shared" si="7"/>
        <v>5</v>
      </c>
    </row>
    <row r="130" spans="2:5">
      <c r="B130" s="109" t="s">
        <v>427</v>
      </c>
      <c r="C130" s="118">
        <v>50</v>
      </c>
      <c r="D130" s="118">
        <v>0</v>
      </c>
      <c r="E130" s="118">
        <f t="shared" si="7"/>
        <v>50</v>
      </c>
    </row>
    <row r="131" spans="2:5">
      <c r="B131" s="109" t="s">
        <v>428</v>
      </c>
      <c r="C131" s="118">
        <v>0</v>
      </c>
      <c r="D131" s="118">
        <v>100</v>
      </c>
      <c r="E131" s="118">
        <f t="shared" si="7"/>
        <v>-100</v>
      </c>
    </row>
    <row r="132" spans="2:5">
      <c r="B132" s="109" t="s">
        <v>429</v>
      </c>
      <c r="C132" s="118">
        <v>125</v>
      </c>
      <c r="D132" s="118">
        <v>129</v>
      </c>
      <c r="E132" s="118">
        <f t="shared" si="7"/>
        <v>-4</v>
      </c>
    </row>
    <row r="133" spans="2:5">
      <c r="B133" s="109" t="s">
        <v>430</v>
      </c>
      <c r="C133" s="118">
        <v>0</v>
      </c>
      <c r="D133" s="118">
        <v>0</v>
      </c>
      <c r="E133" s="118">
        <f t="shared" si="7"/>
        <v>0</v>
      </c>
    </row>
    <row r="134" spans="2:5">
      <c r="B134" s="109" t="s">
        <v>431</v>
      </c>
      <c r="C134" s="118">
        <v>1277</v>
      </c>
      <c r="D134" s="118">
        <v>1277</v>
      </c>
      <c r="E134" s="118">
        <f t="shared" si="7"/>
        <v>0</v>
      </c>
    </row>
    <row r="135" spans="2:5">
      <c r="B135" s="109" t="s">
        <v>432</v>
      </c>
      <c r="C135" s="118">
        <v>25</v>
      </c>
      <c r="D135" s="118">
        <v>0</v>
      </c>
      <c r="E135" s="118">
        <f t="shared" si="7"/>
        <v>25</v>
      </c>
    </row>
    <row r="136" spans="2:5">
      <c r="B136" s="109" t="s">
        <v>118</v>
      </c>
      <c r="C136" s="118">
        <v>600</v>
      </c>
      <c r="D136" s="118">
        <v>600</v>
      </c>
      <c r="E136" s="118">
        <f t="shared" si="7"/>
        <v>0</v>
      </c>
    </row>
    <row r="137" spans="2:5">
      <c r="B137" s="109" t="s">
        <v>433</v>
      </c>
      <c r="C137" s="118">
        <v>200</v>
      </c>
      <c r="D137" s="118">
        <v>185</v>
      </c>
      <c r="E137" s="118">
        <f t="shared" si="7"/>
        <v>15</v>
      </c>
    </row>
    <row r="138" spans="2:5">
      <c r="B138" s="109" t="s">
        <v>434</v>
      </c>
      <c r="C138" s="118">
        <v>600</v>
      </c>
      <c r="D138" s="118">
        <v>502</v>
      </c>
      <c r="E138" s="118">
        <f t="shared" si="7"/>
        <v>98</v>
      </c>
    </row>
    <row r="139" spans="2:5">
      <c r="B139" s="109" t="s">
        <v>435</v>
      </c>
      <c r="C139" s="118">
        <v>25</v>
      </c>
      <c r="D139" s="118">
        <v>30</v>
      </c>
      <c r="E139" s="118">
        <f t="shared" si="7"/>
        <v>-5</v>
      </c>
    </row>
    <row r="140" spans="2:5">
      <c r="B140" s="109" t="s">
        <v>115</v>
      </c>
      <c r="C140" s="118">
        <v>50</v>
      </c>
      <c r="D140" s="118">
        <v>40</v>
      </c>
      <c r="E140" s="118">
        <f t="shared" si="7"/>
        <v>10</v>
      </c>
    </row>
    <row r="141" spans="2:5">
      <c r="B141" s="109" t="s">
        <v>436</v>
      </c>
      <c r="C141" s="118">
        <v>200</v>
      </c>
      <c r="D141" s="118">
        <v>201</v>
      </c>
      <c r="E141" s="118">
        <f t="shared" si="7"/>
        <v>-1</v>
      </c>
    </row>
    <row r="142" spans="2:5">
      <c r="B142" s="109" t="s">
        <v>437</v>
      </c>
      <c r="C142" s="118">
        <v>20</v>
      </c>
      <c r="D142" s="118">
        <v>18</v>
      </c>
      <c r="E142" s="118">
        <f t="shared" si="7"/>
        <v>2</v>
      </c>
    </row>
    <row r="143" spans="2:5">
      <c r="B143" s="109" t="s">
        <v>438</v>
      </c>
      <c r="C143" s="118">
        <v>50</v>
      </c>
      <c r="D143" s="118">
        <v>33</v>
      </c>
      <c r="E143" s="118">
        <f t="shared" si="7"/>
        <v>17</v>
      </c>
    </row>
    <row r="144" spans="2:5">
      <c r="B144" s="109" t="s">
        <v>439</v>
      </c>
      <c r="C144" s="118">
        <v>250</v>
      </c>
      <c r="D144" s="118">
        <v>207</v>
      </c>
      <c r="E144" s="118">
        <f t="shared" si="7"/>
        <v>43</v>
      </c>
    </row>
    <row r="145" spans="2:5">
      <c r="B145" s="109" t="s">
        <v>440</v>
      </c>
      <c r="C145" s="118">
        <v>1600</v>
      </c>
      <c r="D145" s="118">
        <v>1600</v>
      </c>
      <c r="E145" s="118">
        <f t="shared" si="7"/>
        <v>0</v>
      </c>
    </row>
    <row r="146" spans="2:5">
      <c r="B146" s="109" t="s">
        <v>441</v>
      </c>
      <c r="C146" s="118">
        <v>525</v>
      </c>
      <c r="D146" s="118">
        <v>514</v>
      </c>
      <c r="E146" s="118">
        <f t="shared" si="7"/>
        <v>11</v>
      </c>
    </row>
    <row r="147" spans="2:5">
      <c r="B147" s="109" t="s">
        <v>442</v>
      </c>
      <c r="C147" s="118">
        <v>4000</v>
      </c>
      <c r="D147" s="118">
        <v>3805</v>
      </c>
      <c r="E147" s="118">
        <f t="shared" si="7"/>
        <v>195</v>
      </c>
    </row>
    <row r="148" spans="2:5">
      <c r="B148" s="109" t="s">
        <v>443</v>
      </c>
      <c r="C148" s="118">
        <v>425</v>
      </c>
      <c r="D148" s="118">
        <v>411</v>
      </c>
      <c r="E148" s="118">
        <f t="shared" si="7"/>
        <v>14</v>
      </c>
    </row>
    <row r="149" spans="2:5">
      <c r="B149" s="109" t="s">
        <v>444</v>
      </c>
      <c r="C149" s="118">
        <v>0</v>
      </c>
      <c r="D149" s="118">
        <v>0</v>
      </c>
      <c r="E149" s="118">
        <f t="shared" si="7"/>
        <v>0</v>
      </c>
    </row>
    <row r="150" spans="2:5">
      <c r="B150" s="109" t="s">
        <v>445</v>
      </c>
      <c r="C150" s="118">
        <v>500</v>
      </c>
      <c r="D150" s="118">
        <v>488</v>
      </c>
      <c r="E150" s="118">
        <f t="shared" si="7"/>
        <v>12</v>
      </c>
    </row>
    <row r="151" spans="2:5">
      <c r="B151" s="109" t="s">
        <v>112</v>
      </c>
      <c r="C151" s="118">
        <v>100</v>
      </c>
      <c r="D151" s="118">
        <v>56</v>
      </c>
      <c r="E151" s="118">
        <f t="shared" si="7"/>
        <v>44</v>
      </c>
    </row>
    <row r="152" spans="2:5">
      <c r="B152" s="109" t="s">
        <v>446</v>
      </c>
      <c r="C152" s="118">
        <v>900</v>
      </c>
      <c r="D152" s="118">
        <v>790</v>
      </c>
      <c r="E152" s="118">
        <f t="shared" si="7"/>
        <v>110</v>
      </c>
    </row>
    <row r="153" spans="2:5">
      <c r="B153" s="109" t="s">
        <v>447</v>
      </c>
      <c r="C153" s="119">
        <v>0</v>
      </c>
      <c r="D153" s="119">
        <v>0</v>
      </c>
      <c r="E153" s="119">
        <f t="shared" si="7"/>
        <v>0</v>
      </c>
    </row>
    <row r="154" spans="2:5">
      <c r="B154" s="73" t="s">
        <v>448</v>
      </c>
      <c r="C154" s="117">
        <f>SUM(C126:C153)</f>
        <v>11927</v>
      </c>
      <c r="D154" s="117">
        <f>SUM(D126:D153)</f>
        <v>11262</v>
      </c>
      <c r="E154" s="117">
        <f t="shared" si="7"/>
        <v>665</v>
      </c>
    </row>
    <row r="155" spans="2:5">
      <c r="B155" s="73"/>
      <c r="C155" s="117"/>
      <c r="D155" s="117"/>
      <c r="E155" s="117"/>
    </row>
    <row r="156" spans="2:5">
      <c r="B156" s="108" t="s">
        <v>449</v>
      </c>
      <c r="C156" s="117">
        <f>+C123-C154</f>
        <v>11029</v>
      </c>
      <c r="D156" s="117">
        <f>+D123-D154</f>
        <v>7591.1999999999971</v>
      </c>
      <c r="E156" s="117">
        <f>+C156-D156</f>
        <v>3437.8000000000029</v>
      </c>
    </row>
    <row r="157" spans="2:5">
      <c r="B157" s="73"/>
      <c r="C157" s="117"/>
      <c r="D157" s="117"/>
      <c r="E157" s="117"/>
    </row>
    <row r="158" spans="2:5">
      <c r="B158" s="73" t="s">
        <v>450</v>
      </c>
      <c r="C158" s="117"/>
      <c r="D158" s="117"/>
      <c r="E158" s="117"/>
    </row>
    <row r="159" spans="2:5">
      <c r="B159" s="109" t="s">
        <v>451</v>
      </c>
      <c r="C159" s="118">
        <v>-50</v>
      </c>
      <c r="D159" s="118">
        <v>-32</v>
      </c>
      <c r="E159" s="118">
        <f>+C159-D159</f>
        <v>-18</v>
      </c>
    </row>
    <row r="160" spans="2:5">
      <c r="B160" s="109" t="s">
        <v>241</v>
      </c>
      <c r="C160" s="118">
        <v>700</v>
      </c>
      <c r="D160" s="118">
        <v>689</v>
      </c>
      <c r="E160" s="118">
        <f>+C160-D160</f>
        <v>11</v>
      </c>
    </row>
    <row r="161" spans="2:5">
      <c r="B161" s="109" t="s">
        <v>452</v>
      </c>
      <c r="C161" s="119">
        <v>5200</v>
      </c>
      <c r="D161" s="119">
        <v>3200</v>
      </c>
      <c r="E161" s="119">
        <f>+C161-D161</f>
        <v>2000</v>
      </c>
    </row>
    <row r="162" spans="2:5">
      <c r="B162" s="73" t="s">
        <v>453</v>
      </c>
      <c r="C162" s="120">
        <f>SUM(C159:C161)</f>
        <v>5850</v>
      </c>
      <c r="D162" s="120">
        <f>SUM(D159:D161)</f>
        <v>3857</v>
      </c>
      <c r="E162" s="120">
        <f>+C162-D162</f>
        <v>1993</v>
      </c>
    </row>
    <row r="163" spans="2:5">
      <c r="C163" s="121"/>
      <c r="D163" s="121"/>
      <c r="E163" s="121"/>
    </row>
    <row r="164" spans="2:5" ht="15.75" thickBot="1">
      <c r="B164" s="108" t="s">
        <v>454</v>
      </c>
      <c r="C164" s="122">
        <f>+C156-C162</f>
        <v>5179</v>
      </c>
      <c r="D164" s="122">
        <f>+D156-D162</f>
        <v>3734.1999999999971</v>
      </c>
      <c r="E164" s="122">
        <f>+C164-D164</f>
        <v>1444.8000000000029</v>
      </c>
    </row>
    <row r="165" spans="2:5" ht="15.75" thickTop="1"/>
  </sheetData>
  <mergeCells count="1">
    <mergeCell ref="B39:B40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D864-4AF1-447B-8D7D-954EF55F5EAD}">
  <sheetPr codeName="Sheet4">
    <tabColor theme="4"/>
  </sheetPr>
  <dimension ref="A1:L34"/>
  <sheetViews>
    <sheetView showRuler="0" workbookViewId="0"/>
  </sheetViews>
  <sheetFormatPr defaultColWidth="13.28515625" defaultRowHeight="15"/>
  <cols>
    <col min="1" max="1" width="3.140625" customWidth="1"/>
    <col min="2" max="2" width="51" customWidth="1"/>
    <col min="3" max="3" width="10.28515625" customWidth="1"/>
    <col min="4" max="4" width="6.140625" customWidth="1"/>
    <col min="5" max="5" width="3.42578125" customWidth="1"/>
    <col min="6" max="6" width="9.85546875" customWidth="1"/>
    <col min="7" max="7" width="11" customWidth="1"/>
    <col min="8" max="8" width="6" customWidth="1"/>
    <col min="9" max="9" width="5.140625" customWidth="1"/>
    <col min="10" max="10" width="10.42578125" customWidth="1"/>
    <col min="11" max="11" width="8.7109375" customWidth="1"/>
    <col min="12" max="12" width="11" customWidth="1"/>
    <col min="13" max="13" width="6.5703125" customWidth="1"/>
  </cols>
  <sheetData>
    <row r="1" spans="1:12" ht="31.5">
      <c r="A1" s="138" t="s">
        <v>909</v>
      </c>
      <c r="C1" s="140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15.75" customHeight="1">
      <c r="A2" s="139"/>
      <c r="B2" s="141"/>
      <c r="C2" s="139"/>
      <c r="D2" s="139"/>
      <c r="E2" s="139"/>
      <c r="F2" s="385" t="s">
        <v>908</v>
      </c>
      <c r="G2" s="139"/>
      <c r="H2" s="139"/>
      <c r="I2" s="139"/>
      <c r="J2" s="139"/>
      <c r="K2" s="139"/>
      <c r="L2" s="139"/>
    </row>
    <row r="3" spans="1:12" ht="15.75" customHeight="1">
      <c r="A3" s="139"/>
      <c r="B3" s="141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5" customHeight="1">
      <c r="A4" s="142"/>
      <c r="B4" s="142"/>
      <c r="C4" s="467" t="s">
        <v>358</v>
      </c>
      <c r="D4" s="467"/>
      <c r="E4" s="467"/>
      <c r="F4" s="467"/>
      <c r="G4" s="467"/>
      <c r="H4" s="467"/>
      <c r="I4" s="143"/>
      <c r="J4" s="467" t="s">
        <v>358</v>
      </c>
      <c r="K4" s="467"/>
      <c r="L4" s="467"/>
    </row>
    <row r="5" spans="1:12" ht="15" customHeight="1">
      <c r="A5" s="142"/>
      <c r="B5" s="144" t="s">
        <v>357</v>
      </c>
      <c r="C5" s="468">
        <v>45473</v>
      </c>
      <c r="D5" s="468"/>
      <c r="E5" s="468"/>
      <c r="F5" s="468"/>
      <c r="G5" s="468"/>
      <c r="H5" s="468"/>
      <c r="I5" s="147"/>
      <c r="J5" s="468">
        <v>45107</v>
      </c>
      <c r="K5" s="468"/>
      <c r="L5" s="468"/>
    </row>
    <row r="6" spans="1:12" ht="29.1" customHeight="1">
      <c r="A6" s="144"/>
      <c r="B6" s="144"/>
      <c r="C6" s="164" t="s">
        <v>355</v>
      </c>
      <c r="D6" s="164" t="s">
        <v>356</v>
      </c>
      <c r="E6" s="164"/>
      <c r="F6" s="176" t="s">
        <v>354</v>
      </c>
      <c r="G6" s="164" t="s">
        <v>353</v>
      </c>
      <c r="H6" s="164" t="s">
        <v>356</v>
      </c>
      <c r="I6" s="148"/>
      <c r="J6" s="164" t="s">
        <v>355</v>
      </c>
      <c r="K6" s="176" t="s">
        <v>354</v>
      </c>
      <c r="L6" s="164" t="s">
        <v>353</v>
      </c>
    </row>
    <row r="7" spans="1:12" ht="15" customHeight="1">
      <c r="A7" s="144"/>
      <c r="B7" s="144"/>
      <c r="C7" s="143"/>
      <c r="D7" s="143"/>
      <c r="E7" s="143"/>
      <c r="F7" s="177"/>
      <c r="G7" s="143"/>
      <c r="H7" s="143"/>
      <c r="I7" s="148"/>
      <c r="J7" s="143"/>
      <c r="K7" s="177"/>
      <c r="L7" s="143"/>
    </row>
    <row r="8" spans="1:12" ht="15" customHeight="1">
      <c r="A8" s="469" t="s">
        <v>133</v>
      </c>
      <c r="B8" s="469"/>
      <c r="C8" s="149">
        <v>20070.8</v>
      </c>
      <c r="D8" s="150">
        <v>0.31</v>
      </c>
      <c r="E8" s="151"/>
      <c r="F8" s="178"/>
      <c r="G8" s="152">
        <v>20070.8</v>
      </c>
      <c r="H8" s="150">
        <v>0.31</v>
      </c>
      <c r="I8" s="142"/>
      <c r="J8" s="149">
        <v>15272.1</v>
      </c>
      <c r="K8" s="178"/>
      <c r="L8" s="152">
        <v>15272.1</v>
      </c>
    </row>
    <row r="9" spans="1:12" ht="7.5" customHeight="1">
      <c r="A9" s="142"/>
      <c r="B9" s="142"/>
      <c r="C9" s="153"/>
      <c r="D9" s="154"/>
      <c r="E9" s="142"/>
      <c r="F9" s="178"/>
      <c r="G9" s="155"/>
      <c r="H9" s="154"/>
      <c r="I9" s="142"/>
      <c r="J9" s="153"/>
      <c r="K9" s="178"/>
      <c r="L9" s="155"/>
    </row>
    <row r="10" spans="1:12" ht="15" customHeight="1">
      <c r="A10" s="469" t="s">
        <v>352</v>
      </c>
      <c r="B10" s="469"/>
      <c r="C10" s="156">
        <v>3843.7</v>
      </c>
      <c r="D10" s="150">
        <v>0.12</v>
      </c>
      <c r="E10" s="151"/>
      <c r="F10" s="179">
        <v>-278.2</v>
      </c>
      <c r="G10" s="152">
        <v>3565.5</v>
      </c>
      <c r="H10" s="150">
        <v>0.12</v>
      </c>
      <c r="I10" s="151"/>
      <c r="J10" s="156">
        <v>3434.1</v>
      </c>
      <c r="K10" s="179">
        <v>-252.2</v>
      </c>
      <c r="L10" s="157">
        <v>3181.9</v>
      </c>
    </row>
    <row r="11" spans="1:12" ht="15" customHeight="1">
      <c r="A11" s="469" t="s">
        <v>351</v>
      </c>
      <c r="B11" s="469"/>
      <c r="C11" s="165">
        <v>16227.1</v>
      </c>
      <c r="D11" s="166">
        <v>0.37</v>
      </c>
      <c r="E11" s="167"/>
      <c r="F11" s="180">
        <v>278.2</v>
      </c>
      <c r="G11" s="168">
        <v>16505.3</v>
      </c>
      <c r="H11" s="166">
        <v>0.37</v>
      </c>
      <c r="I11" s="151"/>
      <c r="J11" s="165">
        <v>11838</v>
      </c>
      <c r="K11" s="180">
        <v>252.2</v>
      </c>
      <c r="L11" s="169">
        <v>12090.2</v>
      </c>
    </row>
    <row r="12" spans="1:12" ht="15" customHeight="1">
      <c r="A12" s="142"/>
      <c r="B12" s="145" t="s">
        <v>350</v>
      </c>
      <c r="C12" s="123">
        <v>0.80800000000000005</v>
      </c>
      <c r="D12" s="158">
        <v>3.3</v>
      </c>
      <c r="E12" s="145" t="s">
        <v>338</v>
      </c>
      <c r="F12" s="181"/>
      <c r="G12" s="159">
        <v>0.82199999999999995</v>
      </c>
      <c r="H12" s="158">
        <v>3</v>
      </c>
      <c r="I12" s="145" t="s">
        <v>338</v>
      </c>
      <c r="J12" s="123">
        <v>0.77500000000000002</v>
      </c>
      <c r="K12" s="181"/>
      <c r="L12" s="159">
        <v>0.79200000000000004</v>
      </c>
    </row>
    <row r="13" spans="1:12" ht="7.5" customHeight="1">
      <c r="A13" s="142"/>
      <c r="B13" s="142"/>
      <c r="C13" s="153"/>
      <c r="D13" s="154"/>
      <c r="E13" s="142"/>
      <c r="F13" s="178"/>
      <c r="G13" s="155"/>
      <c r="H13" s="154"/>
      <c r="I13" s="142"/>
      <c r="J13" s="153"/>
      <c r="K13" s="178"/>
      <c r="L13" s="160"/>
    </row>
    <row r="14" spans="1:12" ht="15" customHeight="1">
      <c r="A14" s="142"/>
      <c r="B14" s="146" t="s">
        <v>349</v>
      </c>
      <c r="C14" s="156">
        <v>5234</v>
      </c>
      <c r="D14" s="150">
        <v>0.21</v>
      </c>
      <c r="E14" s="151"/>
      <c r="F14" s="178"/>
      <c r="G14" s="152">
        <v>5234</v>
      </c>
      <c r="H14" s="150">
        <v>0.21</v>
      </c>
      <c r="I14" s="151"/>
      <c r="J14" s="156">
        <v>4341.6000000000004</v>
      </c>
      <c r="K14" s="178"/>
      <c r="L14" s="157">
        <v>4341.6000000000004</v>
      </c>
    </row>
    <row r="15" spans="1:12" ht="15" customHeight="1">
      <c r="A15" s="142"/>
      <c r="B15" s="146" t="s">
        <v>348</v>
      </c>
      <c r="C15" s="156">
        <v>4069.5</v>
      </c>
      <c r="D15" s="150">
        <v>0.11</v>
      </c>
      <c r="E15" s="151"/>
      <c r="F15" s="178"/>
      <c r="G15" s="152">
        <v>4069.5</v>
      </c>
      <c r="H15" s="150">
        <v>0.11</v>
      </c>
      <c r="I15" s="151"/>
      <c r="J15" s="156">
        <v>3674.6</v>
      </c>
      <c r="K15" s="178"/>
      <c r="L15" s="157">
        <v>3674.6</v>
      </c>
    </row>
    <row r="16" spans="1:12" ht="15" customHeight="1">
      <c r="A16" s="142"/>
      <c r="B16" s="146" t="s">
        <v>347</v>
      </c>
      <c r="C16" s="156">
        <v>264.8</v>
      </c>
      <c r="D16" s="150">
        <v>0.31</v>
      </c>
      <c r="E16" s="151"/>
      <c r="F16" s="178"/>
      <c r="G16" s="152">
        <v>264.8</v>
      </c>
      <c r="H16" s="150">
        <v>0.31</v>
      </c>
      <c r="I16" s="151"/>
      <c r="J16" s="156">
        <v>202.1</v>
      </c>
      <c r="K16" s="178"/>
      <c r="L16" s="157">
        <v>202.1</v>
      </c>
    </row>
    <row r="17" spans="1:12" ht="15" customHeight="1">
      <c r="A17" s="142"/>
      <c r="B17" s="146" t="s">
        <v>346</v>
      </c>
      <c r="C17" s="156">
        <v>435</v>
      </c>
      <c r="D17" s="150" t="s">
        <v>287</v>
      </c>
      <c r="E17" s="151"/>
      <c r="F17" s="179">
        <v>-435</v>
      </c>
      <c r="G17" s="152">
        <v>0</v>
      </c>
      <c r="H17" s="150" t="s">
        <v>287</v>
      </c>
      <c r="I17" s="151"/>
      <c r="J17" s="156">
        <v>0</v>
      </c>
      <c r="K17" s="179">
        <v>0</v>
      </c>
      <c r="L17" s="157">
        <v>0</v>
      </c>
    </row>
    <row r="18" spans="1:12" ht="15" customHeight="1">
      <c r="A18" s="469" t="s">
        <v>345</v>
      </c>
      <c r="B18" s="469"/>
      <c r="C18" s="165">
        <v>6223.8</v>
      </c>
      <c r="D18" s="166">
        <v>0.72</v>
      </c>
      <c r="E18" s="167"/>
      <c r="F18" s="180">
        <v>713.2</v>
      </c>
      <c r="G18" s="168">
        <v>6937</v>
      </c>
      <c r="H18" s="166">
        <v>0.79</v>
      </c>
      <c r="I18" s="151"/>
      <c r="J18" s="165">
        <v>3619.7</v>
      </c>
      <c r="K18" s="180">
        <v>252.2</v>
      </c>
      <c r="L18" s="169">
        <v>3871.9</v>
      </c>
    </row>
    <row r="19" spans="1:12" ht="7.5" customHeight="1">
      <c r="A19" s="142"/>
      <c r="B19" s="142"/>
      <c r="C19" s="153"/>
      <c r="D19" s="154"/>
      <c r="E19" s="142"/>
      <c r="F19" s="178"/>
      <c r="G19" s="155"/>
      <c r="H19" s="154"/>
      <c r="I19" s="142"/>
      <c r="J19" s="153"/>
      <c r="K19" s="178"/>
      <c r="L19" s="160"/>
    </row>
    <row r="20" spans="1:12" ht="15" customHeight="1">
      <c r="A20" s="142"/>
      <c r="B20" s="146" t="s">
        <v>344</v>
      </c>
      <c r="C20" s="156">
        <v>-280.10000000000002</v>
      </c>
      <c r="D20" s="154"/>
      <c r="E20" s="151"/>
      <c r="F20" s="178"/>
      <c r="G20" s="152">
        <v>-280.10000000000002</v>
      </c>
      <c r="H20" s="154"/>
      <c r="I20" s="151"/>
      <c r="J20" s="156">
        <v>-142.9</v>
      </c>
      <c r="K20" s="178"/>
      <c r="L20" s="157">
        <v>-142.9</v>
      </c>
    </row>
    <row r="21" spans="1:12" ht="15" customHeight="1">
      <c r="A21" s="142"/>
      <c r="B21" s="146" t="s">
        <v>343</v>
      </c>
      <c r="C21" s="156">
        <v>109.6</v>
      </c>
      <c r="D21" s="154"/>
      <c r="E21" s="151"/>
      <c r="F21" s="179">
        <v>124.3</v>
      </c>
      <c r="G21" s="152">
        <v>233.9</v>
      </c>
      <c r="H21" s="154"/>
      <c r="I21" s="151"/>
      <c r="J21" s="156">
        <v>141.80000000000001</v>
      </c>
      <c r="K21" s="179">
        <v>76.5</v>
      </c>
      <c r="L21" s="157">
        <v>218.3</v>
      </c>
    </row>
    <row r="22" spans="1:12" ht="15" customHeight="1">
      <c r="A22" s="469" t="s">
        <v>342</v>
      </c>
      <c r="B22" s="469"/>
      <c r="C22" s="165">
        <v>-170.5</v>
      </c>
      <c r="D22" s="166" t="s">
        <v>287</v>
      </c>
      <c r="E22" s="167"/>
      <c r="F22" s="180">
        <v>124.3</v>
      </c>
      <c r="G22" s="168">
        <v>-46.2</v>
      </c>
      <c r="H22" s="166" t="s">
        <v>287</v>
      </c>
      <c r="I22" s="151"/>
      <c r="J22" s="165">
        <v>-1.1000000000000001</v>
      </c>
      <c r="K22" s="180">
        <v>76.5</v>
      </c>
      <c r="L22" s="169">
        <v>75.400000000000006</v>
      </c>
    </row>
    <row r="23" spans="1:12" ht="7.5" customHeight="1">
      <c r="A23" s="142"/>
      <c r="B23" s="142"/>
      <c r="C23" s="153"/>
      <c r="D23" s="154"/>
      <c r="E23" s="142"/>
      <c r="F23" s="178"/>
      <c r="G23" s="155"/>
      <c r="H23" s="154"/>
      <c r="I23" s="142"/>
      <c r="J23" s="153"/>
      <c r="K23" s="178"/>
      <c r="L23" s="160"/>
    </row>
    <row r="24" spans="1:12" ht="15" customHeight="1">
      <c r="A24" s="142"/>
      <c r="B24" s="146" t="s">
        <v>341</v>
      </c>
      <c r="C24" s="156">
        <v>6053.3</v>
      </c>
      <c r="D24" s="150">
        <v>0.67</v>
      </c>
      <c r="E24" s="151"/>
      <c r="F24" s="179">
        <v>837.5</v>
      </c>
      <c r="G24" s="152">
        <v>6890.8</v>
      </c>
      <c r="H24" s="150">
        <v>0.75</v>
      </c>
      <c r="I24" s="151"/>
      <c r="J24" s="156">
        <v>3618.6</v>
      </c>
      <c r="K24" s="179">
        <v>328.7</v>
      </c>
      <c r="L24" s="157">
        <v>3947.3</v>
      </c>
    </row>
    <row r="25" spans="1:12" ht="7.5" customHeight="1">
      <c r="A25" s="142"/>
      <c r="B25" s="146"/>
      <c r="C25" s="153"/>
      <c r="D25" s="154"/>
      <c r="E25" s="151"/>
      <c r="F25" s="179"/>
      <c r="G25" s="155"/>
      <c r="H25" s="154"/>
      <c r="I25" s="151"/>
      <c r="J25" s="153"/>
      <c r="K25" s="179"/>
      <c r="L25" s="160"/>
    </row>
    <row r="26" spans="1:12" ht="15" customHeight="1">
      <c r="A26" s="142"/>
      <c r="B26" s="144" t="s">
        <v>340</v>
      </c>
      <c r="C26" s="156">
        <v>843.4</v>
      </c>
      <c r="D26" s="150">
        <v>0.65</v>
      </c>
      <c r="E26" s="151"/>
      <c r="F26" s="179">
        <v>170.9</v>
      </c>
      <c r="G26" s="152">
        <v>1014.3</v>
      </c>
      <c r="H26" s="150">
        <v>0.75</v>
      </c>
      <c r="I26" s="151"/>
      <c r="J26" s="156">
        <v>510.5</v>
      </c>
      <c r="K26" s="179">
        <v>68.5</v>
      </c>
      <c r="L26" s="157">
        <v>579</v>
      </c>
    </row>
    <row r="27" spans="1:12" ht="15" customHeight="1">
      <c r="A27" s="142"/>
      <c r="B27" s="145" t="s">
        <v>339</v>
      </c>
      <c r="C27" s="170">
        <v>0.13900000000000001</v>
      </c>
      <c r="D27" s="171">
        <v>-0.2</v>
      </c>
      <c r="E27" s="172" t="s">
        <v>338</v>
      </c>
      <c r="F27" s="182"/>
      <c r="G27" s="173">
        <v>0.14699999999999999</v>
      </c>
      <c r="H27" s="174">
        <v>0</v>
      </c>
      <c r="I27" s="145" t="s">
        <v>338</v>
      </c>
      <c r="J27" s="170">
        <v>0.14099999999999999</v>
      </c>
      <c r="K27" s="182"/>
      <c r="L27" s="173">
        <v>0.14699999999999999</v>
      </c>
    </row>
    <row r="28" spans="1:12" ht="7.5" customHeight="1">
      <c r="A28" s="142"/>
      <c r="B28" s="142"/>
      <c r="C28" s="153"/>
      <c r="D28" s="154"/>
      <c r="E28" s="142"/>
      <c r="F28" s="178"/>
      <c r="G28" s="155"/>
      <c r="H28" s="154"/>
      <c r="I28" s="142"/>
      <c r="J28" s="153"/>
      <c r="K28" s="178"/>
      <c r="L28" s="155"/>
    </row>
    <row r="29" spans="1:12" ht="15" customHeight="1">
      <c r="A29" s="469" t="s">
        <v>337</v>
      </c>
      <c r="B29" s="469"/>
      <c r="C29" s="175">
        <v>5209.8999999999996</v>
      </c>
      <c r="D29" s="166">
        <v>0.68</v>
      </c>
      <c r="E29" s="167"/>
      <c r="F29" s="180">
        <v>666.6</v>
      </c>
      <c r="G29" s="168">
        <v>5876.5</v>
      </c>
      <c r="H29" s="166">
        <v>0.74</v>
      </c>
      <c r="I29" s="151"/>
      <c r="J29" s="175">
        <v>3108.1</v>
      </c>
      <c r="K29" s="180">
        <v>260.2</v>
      </c>
      <c r="L29" s="168">
        <v>3368.3</v>
      </c>
    </row>
    <row r="30" spans="1:12" ht="15" customHeight="1">
      <c r="A30" s="142"/>
      <c r="B30" s="142"/>
      <c r="C30" s="153"/>
      <c r="D30" s="154"/>
      <c r="E30" s="142"/>
      <c r="F30" s="178"/>
      <c r="G30" s="155"/>
      <c r="H30" s="154"/>
      <c r="I30" s="142"/>
      <c r="J30" s="153"/>
      <c r="K30" s="178"/>
      <c r="L30" s="155"/>
    </row>
    <row r="31" spans="1:12" ht="15" customHeight="1">
      <c r="A31" s="469" t="s">
        <v>336</v>
      </c>
      <c r="B31" s="469"/>
      <c r="C31" s="161">
        <v>5.76</v>
      </c>
      <c r="D31" s="150">
        <v>0.67</v>
      </c>
      <c r="E31" s="151"/>
      <c r="F31" s="183">
        <v>0.74</v>
      </c>
      <c r="G31" s="142">
        <v>6.5</v>
      </c>
      <c r="H31" s="150">
        <v>0.74</v>
      </c>
      <c r="I31" s="151"/>
      <c r="J31" s="161">
        <v>3.44</v>
      </c>
      <c r="K31" s="183">
        <v>0.28999999999999998</v>
      </c>
      <c r="L31" s="142">
        <v>3.73</v>
      </c>
    </row>
    <row r="32" spans="1:12" ht="15" customHeight="1">
      <c r="A32" s="142"/>
      <c r="B32" s="142"/>
      <c r="C32" s="153"/>
      <c r="D32" s="154"/>
      <c r="E32" s="142"/>
      <c r="F32" s="178"/>
      <c r="G32" s="155"/>
      <c r="H32" s="154"/>
      <c r="I32" s="142"/>
      <c r="J32" s="153"/>
      <c r="K32" s="178"/>
      <c r="L32" s="155"/>
    </row>
    <row r="33" spans="1:12" ht="15" customHeight="1">
      <c r="A33" s="470" t="s">
        <v>335</v>
      </c>
      <c r="B33" s="470"/>
      <c r="C33" s="162">
        <v>904025</v>
      </c>
      <c r="D33" s="150">
        <v>0</v>
      </c>
      <c r="E33" s="151"/>
      <c r="F33" s="178"/>
      <c r="G33" s="163">
        <v>904025</v>
      </c>
      <c r="H33" s="150">
        <v>0</v>
      </c>
      <c r="I33" s="151"/>
      <c r="J33" s="162">
        <v>902991</v>
      </c>
      <c r="K33" s="178"/>
      <c r="L33" s="163">
        <v>902991</v>
      </c>
    </row>
    <row r="34" spans="1:12" ht="15" customHeight="1"/>
  </sheetData>
  <mergeCells count="12">
    <mergeCell ref="A31:B31"/>
    <mergeCell ref="A33:B33"/>
    <mergeCell ref="A8:B8"/>
    <mergeCell ref="A10:B10"/>
    <mergeCell ref="A11:B11"/>
    <mergeCell ref="A18:B18"/>
    <mergeCell ref="A22:B22"/>
    <mergeCell ref="C4:H4"/>
    <mergeCell ref="C5:H5"/>
    <mergeCell ref="J4:L4"/>
    <mergeCell ref="J5:L5"/>
    <mergeCell ref="A29:B29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31D1-11AF-425A-A2B4-5552E57E5F00}">
  <sheetPr codeName="Sheet6">
    <tabColor theme="4"/>
  </sheetPr>
  <dimension ref="A1:G48"/>
  <sheetViews>
    <sheetView workbookViewId="0"/>
  </sheetViews>
  <sheetFormatPr defaultRowHeight="15"/>
  <cols>
    <col min="1" max="1" width="2.28515625" customWidth="1"/>
    <col min="2" max="2" width="74.7109375" customWidth="1"/>
    <col min="3" max="3" width="3.85546875" customWidth="1"/>
    <col min="5" max="5" width="4.5703125" customWidth="1"/>
  </cols>
  <sheetData>
    <row r="1" spans="1:7" ht="31.5">
      <c r="A1" s="70" t="s">
        <v>333</v>
      </c>
    </row>
    <row r="2" spans="1:7">
      <c r="B2" s="369" t="s">
        <v>334</v>
      </c>
    </row>
    <row r="4" spans="1:7">
      <c r="B4" s="72" t="s">
        <v>290</v>
      </c>
      <c r="C4" s="72" t="s">
        <v>254</v>
      </c>
      <c r="D4" s="72" t="s">
        <v>254</v>
      </c>
      <c r="E4" s="386"/>
      <c r="F4" s="72"/>
    </row>
    <row r="5" spans="1:7">
      <c r="B5" t="s">
        <v>291</v>
      </c>
      <c r="C5" s="387"/>
      <c r="D5" s="73">
        <v>2024</v>
      </c>
      <c r="E5" s="387" t="s">
        <v>254</v>
      </c>
      <c r="F5">
        <v>2023</v>
      </c>
    </row>
    <row r="6" spans="1:7">
      <c r="B6" t="s">
        <v>254</v>
      </c>
      <c r="C6" s="387"/>
      <c r="D6" s="73"/>
      <c r="E6" s="387"/>
    </row>
    <row r="7" spans="1:7">
      <c r="B7" s="73" t="s">
        <v>292</v>
      </c>
      <c r="C7" s="387" t="s">
        <v>254</v>
      </c>
      <c r="D7" s="73" t="s">
        <v>254</v>
      </c>
      <c r="E7" s="387" t="s">
        <v>254</v>
      </c>
      <c r="F7" t="s">
        <v>254</v>
      </c>
      <c r="G7" t="s">
        <v>254</v>
      </c>
    </row>
    <row r="8" spans="1:7">
      <c r="B8" t="s">
        <v>293</v>
      </c>
      <c r="C8" s="387" t="s">
        <v>254</v>
      </c>
      <c r="D8" s="73" t="s">
        <v>254</v>
      </c>
      <c r="E8" s="387" t="s">
        <v>254</v>
      </c>
      <c r="F8" t="s">
        <v>254</v>
      </c>
      <c r="G8" t="s">
        <v>254</v>
      </c>
    </row>
    <row r="9" spans="1:7">
      <c r="B9" s="74" t="s">
        <v>294</v>
      </c>
      <c r="C9" s="387" t="s">
        <v>295</v>
      </c>
      <c r="D9" s="77">
        <v>18315</v>
      </c>
      <c r="E9" s="387" t="s">
        <v>910</v>
      </c>
      <c r="F9" s="71">
        <v>34704</v>
      </c>
      <c r="G9" t="s">
        <v>254</v>
      </c>
    </row>
    <row r="10" spans="1:7">
      <c r="B10" s="74" t="s">
        <v>296</v>
      </c>
      <c r="C10" s="387" t="s">
        <v>254</v>
      </c>
      <c r="D10" s="77">
        <v>57228</v>
      </c>
      <c r="E10" s="387" t="s">
        <v>254</v>
      </c>
      <c r="F10" s="71">
        <v>76558</v>
      </c>
      <c r="G10" t="s">
        <v>254</v>
      </c>
    </row>
    <row r="11" spans="1:7">
      <c r="B11" s="75" t="s">
        <v>297</v>
      </c>
      <c r="C11" s="388" t="s">
        <v>254</v>
      </c>
      <c r="D11" s="78">
        <v>75543</v>
      </c>
      <c r="E11" s="388" t="s">
        <v>254</v>
      </c>
      <c r="F11" s="76">
        <v>111262</v>
      </c>
      <c r="G11" t="s">
        <v>254</v>
      </c>
    </row>
    <row r="12" spans="1:7">
      <c r="B12" s="74" t="s">
        <v>298</v>
      </c>
      <c r="C12" s="387"/>
      <c r="D12" s="73"/>
      <c r="E12" s="387"/>
    </row>
    <row r="13" spans="1:7">
      <c r="B13" s="74" t="s">
        <v>299</v>
      </c>
      <c r="C13" s="387" t="s">
        <v>254</v>
      </c>
      <c r="D13" s="77">
        <v>1246</v>
      </c>
      <c r="E13" s="387" t="s">
        <v>254</v>
      </c>
      <c r="F13" s="71">
        <v>2500</v>
      </c>
      <c r="G13" t="s">
        <v>254</v>
      </c>
    </row>
    <row r="14" spans="1:7">
      <c r="B14" s="74" t="s">
        <v>300</v>
      </c>
      <c r="C14" s="387" t="s">
        <v>254</v>
      </c>
      <c r="D14" s="77">
        <v>26021</v>
      </c>
      <c r="E14" s="387" t="s">
        <v>254</v>
      </c>
      <c r="F14" s="71">
        <v>21807</v>
      </c>
      <c r="G14" t="s">
        <v>254</v>
      </c>
    </row>
    <row r="15" spans="1:7">
      <c r="B15" s="75" t="s">
        <v>301</v>
      </c>
      <c r="C15" s="388" t="s">
        <v>254</v>
      </c>
      <c r="D15" s="78">
        <v>159734</v>
      </c>
      <c r="E15" s="388" t="s">
        <v>254</v>
      </c>
      <c r="F15" s="76">
        <v>184257</v>
      </c>
      <c r="G15" t="s">
        <v>254</v>
      </c>
    </row>
    <row r="16" spans="1:7">
      <c r="B16" t="s">
        <v>302</v>
      </c>
      <c r="C16" s="387" t="s">
        <v>254</v>
      </c>
      <c r="D16" s="77">
        <v>135591</v>
      </c>
      <c r="E16" s="387" t="s">
        <v>254</v>
      </c>
      <c r="F16" s="71">
        <v>95641</v>
      </c>
      <c r="G16" t="s">
        <v>254</v>
      </c>
    </row>
    <row r="17" spans="2:7">
      <c r="B17" t="s">
        <v>303</v>
      </c>
      <c r="C17" s="387"/>
      <c r="D17" s="77">
        <v>18961</v>
      </c>
      <c r="E17" s="387"/>
      <c r="F17" s="71">
        <v>14346</v>
      </c>
    </row>
    <row r="18" spans="2:7">
      <c r="B18" t="s">
        <v>304</v>
      </c>
      <c r="C18" s="387" t="s">
        <v>254</v>
      </c>
      <c r="D18" s="77">
        <v>14600</v>
      </c>
      <c r="E18" s="387" t="s">
        <v>254</v>
      </c>
      <c r="F18" s="71">
        <v>9879</v>
      </c>
      <c r="G18" t="s">
        <v>254</v>
      </c>
    </row>
    <row r="19" spans="2:7">
      <c r="B19" t="s">
        <v>305</v>
      </c>
      <c r="C19" s="387" t="s">
        <v>254</v>
      </c>
      <c r="D19" s="77">
        <v>119220</v>
      </c>
      <c r="E19" s="387" t="s">
        <v>254</v>
      </c>
      <c r="F19" s="71">
        <v>67886</v>
      </c>
      <c r="G19" t="s">
        <v>254</v>
      </c>
    </row>
    <row r="20" spans="2:7">
      <c r="B20" t="s">
        <v>306</v>
      </c>
      <c r="C20" s="387" t="s">
        <v>254</v>
      </c>
      <c r="D20" s="77">
        <v>27597</v>
      </c>
      <c r="E20" s="387" t="s">
        <v>254</v>
      </c>
      <c r="F20" s="71">
        <v>9366</v>
      </c>
      <c r="G20" t="s">
        <v>254</v>
      </c>
    </row>
    <row r="21" spans="2:7">
      <c r="B21" t="s">
        <v>307</v>
      </c>
      <c r="C21" s="387" t="s">
        <v>254</v>
      </c>
      <c r="D21" s="77">
        <v>36460</v>
      </c>
      <c r="E21" s="387" t="s">
        <v>254</v>
      </c>
      <c r="F21" s="71">
        <v>30601</v>
      </c>
      <c r="G21" t="s">
        <v>254</v>
      </c>
    </row>
    <row r="22" spans="2:7">
      <c r="B22" s="80" t="s">
        <v>308</v>
      </c>
      <c r="C22" s="388" t="s">
        <v>295</v>
      </c>
      <c r="D22" s="78">
        <v>512163</v>
      </c>
      <c r="E22" s="388" t="s">
        <v>295</v>
      </c>
      <c r="F22" s="76">
        <v>411976</v>
      </c>
      <c r="G22" t="s">
        <v>254</v>
      </c>
    </row>
    <row r="23" spans="2:7">
      <c r="B23" t="s">
        <v>254</v>
      </c>
      <c r="C23" s="387"/>
      <c r="D23" s="73"/>
      <c r="E23" s="387"/>
    </row>
    <row r="24" spans="2:7">
      <c r="B24" s="73" t="s">
        <v>309</v>
      </c>
      <c r="C24" s="387" t="s">
        <v>254</v>
      </c>
      <c r="D24" s="73" t="s">
        <v>254</v>
      </c>
      <c r="E24" s="387" t="s">
        <v>254</v>
      </c>
      <c r="F24" t="s">
        <v>254</v>
      </c>
      <c r="G24" t="s">
        <v>254</v>
      </c>
    </row>
    <row r="25" spans="2:7">
      <c r="B25" t="s">
        <v>310</v>
      </c>
      <c r="C25" s="387" t="s">
        <v>254</v>
      </c>
      <c r="D25" s="73" t="s">
        <v>254</v>
      </c>
      <c r="E25" s="387" t="s">
        <v>254</v>
      </c>
      <c r="F25" t="s">
        <v>254</v>
      </c>
      <c r="G25" t="s">
        <v>254</v>
      </c>
    </row>
    <row r="26" spans="2:7">
      <c r="B26" s="74" t="s">
        <v>311</v>
      </c>
      <c r="C26" s="387" t="s">
        <v>295</v>
      </c>
      <c r="D26" s="77">
        <v>21996</v>
      </c>
      <c r="E26" s="387" t="s">
        <v>295</v>
      </c>
      <c r="F26" s="71">
        <v>18095</v>
      </c>
      <c r="G26" t="s">
        <v>254</v>
      </c>
    </row>
    <row r="27" spans="2:7">
      <c r="B27" s="74" t="s">
        <v>312</v>
      </c>
      <c r="C27" s="387"/>
      <c r="D27" s="77">
        <v>6693</v>
      </c>
      <c r="E27" s="387"/>
      <c r="F27">
        <v>0</v>
      </c>
    </row>
    <row r="28" spans="2:7">
      <c r="B28" s="74" t="s">
        <v>313</v>
      </c>
      <c r="C28" s="387"/>
      <c r="D28" s="77">
        <v>2249</v>
      </c>
      <c r="E28" s="387"/>
      <c r="F28" s="71">
        <v>5247</v>
      </c>
    </row>
    <row r="29" spans="2:7">
      <c r="B29" s="74" t="s">
        <v>314</v>
      </c>
      <c r="C29" s="387" t="s">
        <v>254</v>
      </c>
      <c r="D29" s="77">
        <v>12564</v>
      </c>
      <c r="E29" s="387" t="s">
        <v>254</v>
      </c>
      <c r="F29" s="71">
        <v>11009</v>
      </c>
      <c r="G29" t="s">
        <v>254</v>
      </c>
    </row>
    <row r="30" spans="2:7">
      <c r="B30" s="74" t="s">
        <v>315</v>
      </c>
      <c r="C30" s="387" t="s">
        <v>254</v>
      </c>
      <c r="D30" s="77">
        <v>5017</v>
      </c>
      <c r="E30" s="387" t="s">
        <v>254</v>
      </c>
      <c r="F30" s="71">
        <v>4152</v>
      </c>
      <c r="G30" t="s">
        <v>254</v>
      </c>
    </row>
    <row r="31" spans="2:7">
      <c r="B31" s="74" t="s">
        <v>316</v>
      </c>
      <c r="C31" s="387" t="s">
        <v>254</v>
      </c>
      <c r="D31" s="77">
        <v>57582</v>
      </c>
      <c r="E31" s="387" t="s">
        <v>254</v>
      </c>
      <c r="F31" s="71">
        <v>50901</v>
      </c>
      <c r="G31" t="s">
        <v>254</v>
      </c>
    </row>
    <row r="32" spans="2:7">
      <c r="B32" s="74" t="s">
        <v>317</v>
      </c>
      <c r="C32" s="387" t="s">
        <v>254</v>
      </c>
      <c r="D32" s="77">
        <v>19185</v>
      </c>
      <c r="E32" s="387" t="s">
        <v>254</v>
      </c>
      <c r="F32" s="71">
        <v>14745</v>
      </c>
      <c r="G32" t="s">
        <v>254</v>
      </c>
    </row>
    <row r="33" spans="2:7">
      <c r="B33" s="75" t="s">
        <v>318</v>
      </c>
      <c r="C33" s="388" t="s">
        <v>254</v>
      </c>
      <c r="D33" s="78">
        <v>125286</v>
      </c>
      <c r="E33" s="388" t="s">
        <v>254</v>
      </c>
      <c r="F33" s="76">
        <v>104149</v>
      </c>
      <c r="G33" t="s">
        <v>254</v>
      </c>
    </row>
    <row r="34" spans="2:7">
      <c r="B34" t="s">
        <v>319</v>
      </c>
      <c r="C34" s="387" t="s">
        <v>254</v>
      </c>
      <c r="D34" s="77">
        <v>42688</v>
      </c>
      <c r="E34" s="387" t="s">
        <v>254</v>
      </c>
      <c r="F34" s="71">
        <v>41990</v>
      </c>
      <c r="G34" t="s">
        <v>254</v>
      </c>
    </row>
    <row r="35" spans="2:7">
      <c r="B35" t="s">
        <v>320</v>
      </c>
      <c r="C35" s="387"/>
      <c r="D35" s="77">
        <v>27931</v>
      </c>
      <c r="E35" s="387"/>
      <c r="F35" s="71">
        <v>25560</v>
      </c>
    </row>
    <row r="36" spans="2:7">
      <c r="B36" t="s">
        <v>321</v>
      </c>
      <c r="C36" s="387" t="s">
        <v>254</v>
      </c>
      <c r="D36" s="77">
        <v>2602</v>
      </c>
      <c r="E36" s="387" t="s">
        <v>254</v>
      </c>
      <c r="F36" s="71">
        <v>2912</v>
      </c>
      <c r="G36" t="s">
        <v>254</v>
      </c>
    </row>
    <row r="37" spans="2:7">
      <c r="B37" t="s">
        <v>322</v>
      </c>
      <c r="C37" s="387" t="s">
        <v>254</v>
      </c>
      <c r="D37" s="77">
        <v>2618</v>
      </c>
      <c r="E37" s="387" t="s">
        <v>254</v>
      </c>
      <c r="F37">
        <v>433</v>
      </c>
      <c r="G37" t="s">
        <v>254</v>
      </c>
    </row>
    <row r="38" spans="2:7">
      <c r="B38" t="s">
        <v>323</v>
      </c>
      <c r="C38" s="387"/>
      <c r="D38" s="77">
        <v>15497</v>
      </c>
      <c r="E38" s="387"/>
      <c r="F38" s="71">
        <v>12728</v>
      </c>
    </row>
    <row r="39" spans="2:7">
      <c r="B39" t="s">
        <v>324</v>
      </c>
      <c r="C39" s="387" t="s">
        <v>254</v>
      </c>
      <c r="D39" s="77">
        <v>27064</v>
      </c>
      <c r="E39" s="387" t="s">
        <v>254</v>
      </c>
      <c r="F39" s="71">
        <v>17981</v>
      </c>
      <c r="G39" t="s">
        <v>254</v>
      </c>
    </row>
    <row r="40" spans="2:7">
      <c r="B40" s="80" t="s">
        <v>325</v>
      </c>
      <c r="C40" s="388" t="s">
        <v>254</v>
      </c>
      <c r="D40" s="78">
        <v>243686</v>
      </c>
      <c r="E40" s="388" t="s">
        <v>254</v>
      </c>
      <c r="F40" s="76">
        <v>205753</v>
      </c>
      <c r="G40" t="s">
        <v>254</v>
      </c>
    </row>
    <row r="41" spans="2:7">
      <c r="B41" t="s">
        <v>326</v>
      </c>
      <c r="C41" s="387" t="s">
        <v>254</v>
      </c>
      <c r="D41" s="73" t="s">
        <v>254</v>
      </c>
      <c r="E41" s="387" t="s">
        <v>254</v>
      </c>
      <c r="F41" t="s">
        <v>254</v>
      </c>
      <c r="G41" t="s">
        <v>254</v>
      </c>
    </row>
    <row r="42" spans="2:7">
      <c r="B42" t="s">
        <v>327</v>
      </c>
      <c r="C42" s="387" t="s">
        <v>254</v>
      </c>
      <c r="D42" s="73" t="s">
        <v>254</v>
      </c>
      <c r="E42" s="387" t="s">
        <v>254</v>
      </c>
      <c r="F42" t="s">
        <v>254</v>
      </c>
      <c r="G42" t="s">
        <v>254</v>
      </c>
    </row>
    <row r="43" spans="2:7">
      <c r="B43" s="74" t="s">
        <v>328</v>
      </c>
      <c r="C43" s="387" t="s">
        <v>254</v>
      </c>
      <c r="D43" s="77">
        <v>100923</v>
      </c>
      <c r="E43" s="387" t="s">
        <v>254</v>
      </c>
      <c r="F43" s="71">
        <v>93718</v>
      </c>
      <c r="G43" t="s">
        <v>254</v>
      </c>
    </row>
    <row r="44" spans="2:7">
      <c r="B44" s="74" t="s">
        <v>329</v>
      </c>
      <c r="C44" s="387" t="s">
        <v>254</v>
      </c>
      <c r="D44" s="77">
        <v>173144</v>
      </c>
      <c r="E44" s="387" t="s">
        <v>254</v>
      </c>
      <c r="F44" s="71">
        <v>118848</v>
      </c>
      <c r="G44" t="s">
        <v>254</v>
      </c>
    </row>
    <row r="45" spans="2:7">
      <c r="B45" s="74" t="s">
        <v>330</v>
      </c>
      <c r="C45" s="387" t="s">
        <v>254</v>
      </c>
      <c r="D45" s="77">
        <v>-5590</v>
      </c>
      <c r="E45" s="387" t="s">
        <v>254</v>
      </c>
      <c r="F45" s="71">
        <v>-6343</v>
      </c>
    </row>
    <row r="46" spans="2:7">
      <c r="B46" s="79" t="s">
        <v>331</v>
      </c>
      <c r="C46" s="388" t="s">
        <v>254</v>
      </c>
      <c r="D46" s="78">
        <v>268477</v>
      </c>
      <c r="E46" s="388" t="s">
        <v>254</v>
      </c>
      <c r="F46" s="76">
        <v>206223</v>
      </c>
      <c r="G46" t="s">
        <v>254</v>
      </c>
    </row>
    <row r="47" spans="2:7">
      <c r="B47" s="81" t="s">
        <v>332</v>
      </c>
      <c r="C47" s="388" t="s">
        <v>295</v>
      </c>
      <c r="D47" s="78">
        <v>512163</v>
      </c>
      <c r="E47" s="388" t="s">
        <v>295</v>
      </c>
      <c r="F47" s="76">
        <v>411976</v>
      </c>
      <c r="G47" t="s">
        <v>254</v>
      </c>
    </row>
    <row r="48" spans="2:7">
      <c r="B48" t="s">
        <v>254</v>
      </c>
      <c r="C48" t="s">
        <v>254</v>
      </c>
      <c r="D48" t="s">
        <v>254</v>
      </c>
      <c r="E48" t="s">
        <v>254</v>
      </c>
      <c r="F48" t="s">
        <v>254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14AF-06E1-460A-88F7-FB9EB180A1F1}">
  <sheetPr codeName="Sheet5">
    <tabColor theme="4"/>
  </sheetPr>
  <dimension ref="A1:L48"/>
  <sheetViews>
    <sheetView showRuler="0" workbookViewId="0"/>
  </sheetViews>
  <sheetFormatPr defaultColWidth="13.7109375" defaultRowHeight="15"/>
  <cols>
    <col min="1" max="1" width="44.140625" customWidth="1"/>
    <col min="2" max="2" width="0" hidden="1" customWidth="1"/>
    <col min="3" max="3" width="15.5703125" customWidth="1"/>
    <col min="4" max="4" width="0" hidden="1" customWidth="1"/>
    <col min="5" max="5" width="15.5703125" customWidth="1"/>
    <col min="6" max="6" width="0" hidden="1" customWidth="1"/>
    <col min="7" max="7" width="15.5703125" customWidth="1"/>
    <col min="8" max="8" width="0" hidden="1" customWidth="1"/>
    <col min="9" max="9" width="15.5703125" customWidth="1"/>
    <col min="10" max="10" width="0" hidden="1" customWidth="1"/>
    <col min="11" max="11" width="15.5703125" customWidth="1"/>
    <col min="12" max="12" width="0" hidden="1" customWidth="1"/>
  </cols>
  <sheetData>
    <row r="1" spans="1:12" ht="31.5">
      <c r="A1" s="70" t="s">
        <v>401</v>
      </c>
    </row>
    <row r="2" spans="1:12" ht="13.35" customHeight="1">
      <c r="A2" s="389" t="s">
        <v>402</v>
      </c>
    </row>
    <row r="3" spans="1:12" ht="13.35" customHeight="1">
      <c r="C3" s="471" t="s">
        <v>400</v>
      </c>
      <c r="D3" s="472"/>
      <c r="E3" s="472"/>
      <c r="F3" s="472"/>
      <c r="G3" s="472"/>
      <c r="H3" s="472"/>
      <c r="I3" s="472"/>
      <c r="J3" s="472"/>
      <c r="K3" s="472"/>
      <c r="L3" s="472"/>
    </row>
    <row r="4" spans="1:12" ht="13.35" customHeight="1">
      <c r="C4" s="97" t="s">
        <v>399</v>
      </c>
      <c r="E4" s="97" t="s">
        <v>398</v>
      </c>
      <c r="G4" s="97" t="s">
        <v>397</v>
      </c>
      <c r="I4" s="97" t="s">
        <v>396</v>
      </c>
      <c r="K4" s="97" t="s">
        <v>395</v>
      </c>
    </row>
    <row r="5" spans="1:12" ht="13.35" customHeight="1" thickBot="1">
      <c r="A5" s="96" t="s">
        <v>394</v>
      </c>
      <c r="C5" s="95">
        <v>2023</v>
      </c>
      <c r="E5" s="95">
        <v>2023</v>
      </c>
      <c r="G5" s="95">
        <v>2023</v>
      </c>
      <c r="I5" s="95">
        <v>2024</v>
      </c>
      <c r="K5" s="95">
        <v>2024</v>
      </c>
    </row>
    <row r="6" spans="1:12" ht="13.35" customHeight="1">
      <c r="A6" s="94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3.35" customHeight="1">
      <c r="A7" s="92" t="s">
        <v>393</v>
      </c>
    </row>
    <row r="8" spans="1:12" ht="13.35" customHeight="1">
      <c r="A8" s="91" t="s">
        <v>392</v>
      </c>
      <c r="C8" s="90">
        <v>1941.7</v>
      </c>
      <c r="E8" s="90">
        <v>1893.4</v>
      </c>
      <c r="G8" s="90">
        <v>2048.1</v>
      </c>
      <c r="I8" s="90">
        <v>1223.8</v>
      </c>
      <c r="K8" s="90">
        <v>1577.9</v>
      </c>
    </row>
    <row r="9" spans="1:12" ht="13.35" customHeight="1"/>
    <row r="10" spans="1:12" ht="20.85" customHeight="1">
      <c r="A10" s="91" t="s">
        <v>391</v>
      </c>
    </row>
    <row r="11" spans="1:12" ht="13.35" customHeight="1">
      <c r="A11" s="91" t="s">
        <v>390</v>
      </c>
      <c r="C11" s="90">
        <v>181.2</v>
      </c>
      <c r="E11" s="90">
        <v>176.2</v>
      </c>
      <c r="G11" s="90">
        <v>212.1</v>
      </c>
      <c r="I11" s="90">
        <v>214.4</v>
      </c>
      <c r="K11" s="90">
        <v>227.5</v>
      </c>
    </row>
    <row r="12" spans="1:12" ht="13.35" customHeight="1">
      <c r="A12" s="91" t="s">
        <v>389</v>
      </c>
      <c r="C12" s="90">
        <v>3.9</v>
      </c>
      <c r="E12" s="90">
        <v>20.399999999999999</v>
      </c>
      <c r="G12" s="90">
        <v>10</v>
      </c>
      <c r="I12" s="90">
        <v>4.2</v>
      </c>
      <c r="K12" s="90">
        <v>13.7</v>
      </c>
    </row>
    <row r="13" spans="1:12" ht="13.35" customHeight="1">
      <c r="A13" s="91" t="s">
        <v>388</v>
      </c>
      <c r="C13" s="90">
        <v>33.4</v>
      </c>
      <c r="E13" s="90">
        <v>41.5</v>
      </c>
      <c r="G13" s="90">
        <v>41.6</v>
      </c>
      <c r="I13" s="90">
        <v>19.8</v>
      </c>
      <c r="K13" s="90">
        <v>46.5</v>
      </c>
    </row>
    <row r="14" spans="1:12" ht="13.35" hidden="1" customHeight="1">
      <c r="A14" s="91" t="s">
        <v>387</v>
      </c>
      <c r="C14" s="90">
        <v>0</v>
      </c>
      <c r="E14" s="90">
        <v>0</v>
      </c>
      <c r="G14" s="90">
        <v>0</v>
      </c>
      <c r="I14" s="90">
        <v>0</v>
      </c>
      <c r="K14" s="90">
        <v>0</v>
      </c>
    </row>
    <row r="15" spans="1:12" ht="13.35" customHeight="1">
      <c r="A15" s="91" t="s">
        <v>386</v>
      </c>
      <c r="C15" s="90">
        <v>90.6</v>
      </c>
      <c r="E15" s="90">
        <v>102.3</v>
      </c>
      <c r="G15" s="90">
        <v>210.7</v>
      </c>
      <c r="I15" s="90">
        <v>121.5</v>
      </c>
      <c r="K15" s="90">
        <v>110.7</v>
      </c>
    </row>
    <row r="16" spans="1:12" ht="13.35" customHeight="1">
      <c r="A16" s="91" t="s">
        <v>385</v>
      </c>
      <c r="C16" s="90">
        <v>41.5</v>
      </c>
      <c r="E16" s="90">
        <v>-138.9</v>
      </c>
      <c r="G16" s="90">
        <v>-48.9</v>
      </c>
      <c r="I16" s="90">
        <v>-2.7</v>
      </c>
      <c r="K16" s="90">
        <v>0.8</v>
      </c>
    </row>
    <row r="17" spans="1:12" ht="13.35" customHeight="1">
      <c r="A17" s="91" t="s">
        <v>384</v>
      </c>
      <c r="C17" s="90">
        <v>-70.900000000000006</v>
      </c>
      <c r="E17" s="90">
        <v>-53.8</v>
      </c>
      <c r="G17" s="90">
        <v>175.7</v>
      </c>
      <c r="I17" s="90">
        <v>-33.9</v>
      </c>
      <c r="K17" s="90">
        <v>-50.6</v>
      </c>
    </row>
    <row r="18" spans="1:12" ht="13.35" customHeight="1">
      <c r="A18" s="86" t="s">
        <v>383</v>
      </c>
      <c r="C18" s="85">
        <v>-1836.7</v>
      </c>
      <c r="E18" s="85">
        <v>-913</v>
      </c>
      <c r="G18" s="85">
        <v>547.70000000000005</v>
      </c>
      <c r="I18" s="85">
        <v>-1799</v>
      </c>
      <c r="K18" s="85">
        <v>-1003.1</v>
      </c>
    </row>
    <row r="19" spans="1:12" ht="13.35" customHeight="1">
      <c r="A19" s="84" t="s">
        <v>382</v>
      </c>
      <c r="B19" s="83"/>
      <c r="C19" s="82">
        <v>384.7</v>
      </c>
      <c r="D19" s="83"/>
      <c r="E19" s="82">
        <v>1128.0999999999999</v>
      </c>
      <c r="F19" s="83"/>
      <c r="G19" s="82">
        <v>3197</v>
      </c>
      <c r="H19" s="83"/>
      <c r="I19" s="82">
        <v>-251.9</v>
      </c>
      <c r="J19" s="83"/>
      <c r="K19" s="82">
        <v>923.4</v>
      </c>
      <c r="L19" s="83"/>
    </row>
    <row r="20" spans="1:12" ht="13.35" customHeight="1"/>
    <row r="21" spans="1:12" ht="13.35" customHeight="1">
      <c r="A21" s="92" t="s">
        <v>381</v>
      </c>
    </row>
    <row r="22" spans="1:12" ht="13.35" customHeight="1">
      <c r="A22" s="91" t="s">
        <v>380</v>
      </c>
      <c r="C22" s="90">
        <v>-537.79999999999995</v>
      </c>
      <c r="E22" s="90">
        <v>-501.8</v>
      </c>
      <c r="G22" s="90">
        <v>-584</v>
      </c>
      <c r="I22" s="90">
        <v>-417.3</v>
      </c>
      <c r="K22" s="90">
        <v>-531</v>
      </c>
    </row>
    <row r="23" spans="1:12" ht="13.35" customHeight="1">
      <c r="A23" s="91" t="s">
        <v>379</v>
      </c>
      <c r="C23" s="90">
        <v>-6.6</v>
      </c>
      <c r="E23" s="90">
        <v>-8.3000000000000007</v>
      </c>
      <c r="G23" s="90">
        <v>-18.3</v>
      </c>
      <c r="I23" s="90">
        <v>-6.5</v>
      </c>
      <c r="K23" s="90">
        <v>-7</v>
      </c>
    </row>
    <row r="24" spans="1:12" ht="13.35" customHeight="1">
      <c r="A24" s="91" t="s">
        <v>378</v>
      </c>
      <c r="C24" s="90">
        <v>-0.5</v>
      </c>
      <c r="E24" s="90">
        <v>-3.9</v>
      </c>
      <c r="G24" s="90">
        <v>-1</v>
      </c>
      <c r="I24" s="90">
        <v>-300</v>
      </c>
      <c r="K24" s="90">
        <v>-0.5</v>
      </c>
    </row>
    <row r="25" spans="1:12" ht="13.35" customHeight="1">
      <c r="A25" s="91" t="s">
        <v>377</v>
      </c>
      <c r="C25" s="90">
        <v>0</v>
      </c>
      <c r="E25" s="90">
        <v>3.6</v>
      </c>
      <c r="G25" s="90">
        <v>0.9</v>
      </c>
      <c r="I25" s="90">
        <v>0</v>
      </c>
      <c r="K25" s="90">
        <v>100.4</v>
      </c>
    </row>
    <row r="26" spans="1:12" ht="14.1" hidden="1" customHeight="1">
      <c r="A26" s="91" t="s">
        <v>376</v>
      </c>
      <c r="C26" s="90">
        <v>0</v>
      </c>
      <c r="E26" s="90">
        <v>0</v>
      </c>
      <c r="G26" s="90">
        <v>0</v>
      </c>
      <c r="I26" s="90">
        <v>0</v>
      </c>
      <c r="K26" s="90">
        <v>0</v>
      </c>
    </row>
    <row r="27" spans="1:12" ht="13.35" customHeight="1">
      <c r="A27" s="91" t="s">
        <v>375</v>
      </c>
      <c r="C27" s="90">
        <v>0</v>
      </c>
      <c r="E27" s="90">
        <v>-553</v>
      </c>
      <c r="G27" s="90">
        <v>-8.5</v>
      </c>
      <c r="I27" s="90">
        <v>0.2</v>
      </c>
      <c r="K27" s="90">
        <v>0.3</v>
      </c>
    </row>
    <row r="28" spans="1:12" ht="13.35" hidden="1" customHeight="1">
      <c r="A28" s="91" t="s">
        <v>374</v>
      </c>
      <c r="C28" s="90">
        <v>0</v>
      </c>
      <c r="E28" s="90">
        <v>0</v>
      </c>
      <c r="G28" s="90">
        <v>0</v>
      </c>
      <c r="I28" s="90">
        <v>0</v>
      </c>
      <c r="K28" s="90">
        <v>0</v>
      </c>
    </row>
    <row r="29" spans="1:12" ht="13.35" customHeight="1">
      <c r="A29" s="86" t="s">
        <v>373</v>
      </c>
      <c r="C29" s="85">
        <v>0</v>
      </c>
      <c r="E29" s="85">
        <v>-27.6</v>
      </c>
      <c r="G29" s="85">
        <v>-6</v>
      </c>
      <c r="I29" s="85">
        <v>0</v>
      </c>
      <c r="K29" s="85">
        <v>0</v>
      </c>
      <c r="L29" s="88"/>
    </row>
    <row r="30" spans="1:12" ht="13.35" customHeight="1">
      <c r="A30" s="84" t="s">
        <v>372</v>
      </c>
      <c r="B30" s="83"/>
      <c r="C30" s="82">
        <v>-544.9</v>
      </c>
      <c r="D30" s="83"/>
      <c r="E30" s="82">
        <v>-1091</v>
      </c>
      <c r="F30" s="83"/>
      <c r="G30" s="82">
        <v>-616.9</v>
      </c>
      <c r="H30" s="83"/>
      <c r="I30" s="82">
        <v>-723.6</v>
      </c>
      <c r="J30" s="83"/>
      <c r="K30" s="82">
        <v>-437.8</v>
      </c>
      <c r="L30" s="83"/>
    </row>
    <row r="31" spans="1:12" ht="13.35" customHeight="1"/>
    <row r="32" spans="1:12" ht="23.25" customHeight="1">
      <c r="A32" s="92" t="s">
        <v>371</v>
      </c>
    </row>
    <row r="33" spans="1:12" ht="13.35" customHeight="1">
      <c r="A33" s="91" t="s">
        <v>370</v>
      </c>
      <c r="C33" s="90">
        <v>-666.1</v>
      </c>
      <c r="E33" s="90">
        <v>-570.4</v>
      </c>
      <c r="G33" s="90">
        <v>-570.79999999999995</v>
      </c>
      <c r="I33" s="90">
        <v>-571</v>
      </c>
      <c r="K33" s="90">
        <v>-688.3</v>
      </c>
    </row>
    <row r="34" spans="1:12" ht="13.35" customHeight="1">
      <c r="A34" s="91" t="s">
        <v>369</v>
      </c>
      <c r="C34" s="90">
        <v>-492.6</v>
      </c>
      <c r="E34" s="90">
        <v>-111.1</v>
      </c>
      <c r="G34" s="90">
        <v>0</v>
      </c>
      <c r="I34" s="90">
        <v>-385.1</v>
      </c>
      <c r="K34" s="90">
        <v>-114.9</v>
      </c>
    </row>
    <row r="35" spans="1:12" ht="13.35" customHeight="1">
      <c r="A35" s="91" t="s">
        <v>368</v>
      </c>
      <c r="C35" s="90">
        <v>25.1</v>
      </c>
      <c r="E35" s="90">
        <v>25.7</v>
      </c>
      <c r="G35" s="90">
        <v>25.9</v>
      </c>
      <c r="I35" s="90">
        <v>29.3</v>
      </c>
      <c r="K35" s="90">
        <v>31.2</v>
      </c>
    </row>
    <row r="36" spans="1:12" ht="13.35" customHeight="1">
      <c r="A36" s="91" t="s">
        <v>367</v>
      </c>
      <c r="C36" s="90">
        <v>997.8</v>
      </c>
      <c r="E36" s="90">
        <v>0</v>
      </c>
      <c r="G36" s="90">
        <v>0</v>
      </c>
      <c r="I36" s="90">
        <v>0</v>
      </c>
      <c r="K36" s="90">
        <v>0</v>
      </c>
    </row>
    <row r="37" spans="1:12" ht="13.35" customHeight="1">
      <c r="A37" s="86" t="s">
        <v>366</v>
      </c>
      <c r="C37" s="85">
        <v>-0.7</v>
      </c>
      <c r="E37" s="85">
        <v>-750.4</v>
      </c>
      <c r="G37" s="85">
        <v>-0.2</v>
      </c>
      <c r="I37" s="85">
        <v>-0.6</v>
      </c>
      <c r="K37" s="85">
        <v>-0.3</v>
      </c>
    </row>
    <row r="38" spans="1:12" ht="13.35" hidden="1" customHeight="1">
      <c r="A38" s="89" t="s">
        <v>365</v>
      </c>
      <c r="B38" s="88"/>
      <c r="C38" s="87">
        <v>0</v>
      </c>
      <c r="D38" s="88"/>
      <c r="E38" s="87">
        <v>0</v>
      </c>
      <c r="F38" s="88"/>
      <c r="G38" s="87">
        <v>0</v>
      </c>
      <c r="H38" s="88"/>
      <c r="I38" s="87">
        <v>0</v>
      </c>
      <c r="J38" s="88"/>
      <c r="K38" s="87">
        <v>0</v>
      </c>
    </row>
    <row r="39" spans="1:12" ht="13.35" customHeight="1">
      <c r="A39" s="84" t="s">
        <v>364</v>
      </c>
      <c r="B39" s="83"/>
      <c r="C39" s="82">
        <v>-136.5</v>
      </c>
      <c r="D39" s="83"/>
      <c r="E39" s="82">
        <v>-1406.2</v>
      </c>
      <c r="F39" s="83"/>
      <c r="G39" s="82">
        <v>-545.1</v>
      </c>
      <c r="H39" s="83"/>
      <c r="I39" s="82">
        <v>-927.4</v>
      </c>
      <c r="J39" s="83"/>
      <c r="K39" s="82">
        <v>-772.3</v>
      </c>
      <c r="L39" s="83"/>
    </row>
    <row r="40" spans="1:12" ht="13.35" customHeight="1"/>
    <row r="41" spans="1:12" ht="13.35" customHeight="1">
      <c r="A41" s="84" t="s">
        <v>363</v>
      </c>
      <c r="B41" s="83"/>
      <c r="C41" s="82">
        <v>-296.7</v>
      </c>
      <c r="D41" s="83"/>
      <c r="E41" s="82">
        <v>-1369.1</v>
      </c>
      <c r="F41" s="83"/>
      <c r="G41" s="82">
        <v>2035</v>
      </c>
      <c r="H41" s="83"/>
      <c r="I41" s="82">
        <v>-1902.9</v>
      </c>
      <c r="J41" s="83"/>
      <c r="K41" s="82">
        <v>-286.7</v>
      </c>
      <c r="L41" s="83"/>
    </row>
    <row r="42" spans="1:12" ht="13.35" customHeight="1"/>
    <row r="43" spans="1:12" ht="13.35" customHeight="1">
      <c r="A43" s="86" t="s">
        <v>362</v>
      </c>
      <c r="C43" s="85">
        <v>-9.6999999999999993</v>
      </c>
      <c r="E43" s="85">
        <v>3.3</v>
      </c>
      <c r="G43" s="85">
        <v>-5.8</v>
      </c>
      <c r="I43" s="85">
        <v>-1</v>
      </c>
      <c r="K43" s="85">
        <v>-0.5</v>
      </c>
    </row>
    <row r="44" spans="1:12" ht="13.35" customHeight="1">
      <c r="A44" s="84" t="s">
        <v>361</v>
      </c>
      <c r="B44" s="83"/>
      <c r="C44" s="82">
        <v>-306.39999999999998</v>
      </c>
      <c r="D44" s="83"/>
      <c r="E44" s="82">
        <v>-1365.8</v>
      </c>
      <c r="F44" s="83"/>
      <c r="G44" s="82">
        <v>2029.2</v>
      </c>
      <c r="H44" s="83"/>
      <c r="I44" s="82">
        <v>-1903.9</v>
      </c>
      <c r="J44" s="83"/>
      <c r="K44" s="82">
        <v>-287.2</v>
      </c>
      <c r="L44" s="83"/>
    </row>
    <row r="45" spans="1:12" ht="13.35" customHeight="1"/>
    <row r="46" spans="1:12" ht="13.35" customHeight="1">
      <c r="A46" s="86" t="s">
        <v>360</v>
      </c>
      <c r="C46" s="85">
        <v>6647.7</v>
      </c>
      <c r="E46" s="85">
        <v>6341.3</v>
      </c>
      <c r="G46" s="85">
        <v>4975.5</v>
      </c>
      <c r="I46" s="85">
        <v>7004.7</v>
      </c>
      <c r="K46" s="85">
        <v>5100.8</v>
      </c>
    </row>
    <row r="47" spans="1:12" ht="13.35" customHeight="1">
      <c r="A47" s="84" t="s">
        <v>359</v>
      </c>
      <c r="B47" s="83"/>
      <c r="C47" s="82">
        <v>6341.3</v>
      </c>
      <c r="D47" s="83"/>
      <c r="E47" s="82">
        <v>4975.5</v>
      </c>
      <c r="F47" s="83"/>
      <c r="G47" s="82">
        <v>7004.7</v>
      </c>
      <c r="H47" s="83"/>
      <c r="I47" s="82">
        <v>5100.8</v>
      </c>
      <c r="J47" s="83"/>
      <c r="K47" s="82">
        <v>4813.6000000000004</v>
      </c>
    </row>
    <row r="48" spans="1:12" ht="13.35" customHeight="1"/>
  </sheetData>
  <mergeCells count="1">
    <mergeCell ref="C3:L3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274-2121-4123-86D7-30FFDA29B43C}">
  <sheetPr codeName="Sheet24">
    <tabColor theme="4"/>
  </sheetPr>
  <dimension ref="A1:F18"/>
  <sheetViews>
    <sheetView workbookViewId="0"/>
  </sheetViews>
  <sheetFormatPr defaultRowHeight="15"/>
  <cols>
    <col min="1" max="1" width="2" customWidth="1"/>
    <col min="2" max="2" width="27" customWidth="1"/>
    <col min="3" max="5" width="16.140625" customWidth="1"/>
    <col min="6" max="6" width="12" customWidth="1"/>
  </cols>
  <sheetData>
    <row r="1" spans="1:6" ht="31.5">
      <c r="A1" s="138" t="s">
        <v>469</v>
      </c>
    </row>
    <row r="2" spans="1:6">
      <c r="B2" s="379" t="s">
        <v>470</v>
      </c>
    </row>
    <row r="3" spans="1:6" ht="30">
      <c r="B3" s="135"/>
      <c r="C3" s="136" t="s">
        <v>457</v>
      </c>
      <c r="D3" s="124" t="s">
        <v>458</v>
      </c>
      <c r="E3" s="124" t="s">
        <v>459</v>
      </c>
      <c r="F3" s="125" t="s">
        <v>460</v>
      </c>
    </row>
    <row r="4" spans="1:6">
      <c r="B4" s="126" t="s">
        <v>282</v>
      </c>
      <c r="C4" s="127"/>
      <c r="D4" s="127"/>
      <c r="E4" s="127"/>
      <c r="F4" s="128"/>
    </row>
    <row r="5" spans="1:6">
      <c r="B5" s="129" t="s">
        <v>461</v>
      </c>
      <c r="C5" s="130">
        <v>50000</v>
      </c>
      <c r="D5" s="130">
        <v>400000</v>
      </c>
      <c r="E5" s="130">
        <v>1600000</v>
      </c>
      <c r="F5" s="128"/>
    </row>
    <row r="6" spans="1:6">
      <c r="B6" s="129" t="s">
        <v>171</v>
      </c>
      <c r="C6" s="130">
        <v>500000</v>
      </c>
      <c r="D6" s="130">
        <v>4000000</v>
      </c>
      <c r="E6" s="130">
        <v>16000000</v>
      </c>
      <c r="F6" s="128"/>
    </row>
    <row r="7" spans="1:6">
      <c r="B7" s="129" t="s">
        <v>462</v>
      </c>
      <c r="C7" s="131">
        <v>75</v>
      </c>
      <c r="D7" s="131">
        <v>80</v>
      </c>
      <c r="E7" s="131">
        <v>90</v>
      </c>
      <c r="F7" s="128"/>
    </row>
    <row r="8" spans="1:6">
      <c r="B8" s="129" t="s">
        <v>133</v>
      </c>
      <c r="C8" s="130">
        <f>C7*C6</f>
        <v>37500000</v>
      </c>
      <c r="D8" s="130">
        <f t="shared" ref="D8:E8" si="0">D7*D6</f>
        <v>320000000</v>
      </c>
      <c r="E8" s="130">
        <f t="shared" si="0"/>
        <v>1440000000</v>
      </c>
      <c r="F8" s="128"/>
    </row>
    <row r="9" spans="1:6">
      <c r="B9" s="132" t="s">
        <v>463</v>
      </c>
      <c r="C9" s="133">
        <f>C8*0.15</f>
        <v>5625000</v>
      </c>
      <c r="D9" s="133">
        <f t="shared" ref="D9:E9" si="1">D8*0.15</f>
        <v>48000000</v>
      </c>
      <c r="E9" s="133">
        <f t="shared" si="1"/>
        <v>216000000</v>
      </c>
      <c r="F9" s="128"/>
    </row>
    <row r="10" spans="1:6">
      <c r="B10" s="126" t="s">
        <v>289</v>
      </c>
      <c r="C10" s="127"/>
      <c r="D10" s="127"/>
      <c r="E10" s="127"/>
      <c r="F10" s="128"/>
    </row>
    <row r="11" spans="1:6">
      <c r="B11" s="129" t="s">
        <v>464</v>
      </c>
      <c r="C11" s="130">
        <v>5062500</v>
      </c>
      <c r="D11" s="130">
        <v>38400000</v>
      </c>
      <c r="E11" s="130">
        <v>151200000</v>
      </c>
      <c r="F11" s="134">
        <v>0.7</v>
      </c>
    </row>
    <row r="12" spans="1:6">
      <c r="B12" s="129" t="s">
        <v>465</v>
      </c>
      <c r="C12" s="130">
        <v>1687500</v>
      </c>
      <c r="D12" s="130">
        <v>9600000</v>
      </c>
      <c r="E12" s="130">
        <v>21600000</v>
      </c>
      <c r="F12" s="134">
        <v>0.1</v>
      </c>
    </row>
    <row r="13" spans="1:6">
      <c r="B13" s="129" t="s">
        <v>466</v>
      </c>
      <c r="C13" s="130">
        <v>562500</v>
      </c>
      <c r="D13" s="130">
        <v>2400000</v>
      </c>
      <c r="E13" s="130">
        <v>10800000</v>
      </c>
      <c r="F13" s="134">
        <v>0.05</v>
      </c>
    </row>
    <row r="14" spans="1:6">
      <c r="B14" s="129" t="s">
        <v>467</v>
      </c>
      <c r="C14" s="130">
        <v>281250</v>
      </c>
      <c r="D14" s="130">
        <v>2400000</v>
      </c>
      <c r="E14" s="130">
        <v>4320000</v>
      </c>
      <c r="F14" s="134">
        <v>0.02</v>
      </c>
    </row>
    <row r="15" spans="1:6">
      <c r="B15" s="132" t="s">
        <v>468</v>
      </c>
      <c r="C15" s="133">
        <f>SUM(C11:C14)</f>
        <v>7593750</v>
      </c>
      <c r="D15" s="133">
        <f t="shared" ref="D15:E15" si="2">SUM(D11:D14)</f>
        <v>52800000</v>
      </c>
      <c r="E15" s="133">
        <f t="shared" si="2"/>
        <v>187920000</v>
      </c>
      <c r="F15" s="128"/>
    </row>
    <row r="18" spans="3:3">
      <c r="C18" s="13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AC26-1ACF-452B-8880-04D8BA4A896B}">
  <sheetPr codeName="Sheet22">
    <tabColor theme="7" tint="0.79998168889431442"/>
  </sheetPr>
  <dimension ref="A1:H39"/>
  <sheetViews>
    <sheetView workbookViewId="0"/>
  </sheetViews>
  <sheetFormatPr defaultRowHeight="15"/>
  <cols>
    <col min="1" max="1" width="4.7109375" customWidth="1"/>
    <col min="2" max="2" width="35.42578125" customWidth="1"/>
    <col min="3" max="4" width="16" customWidth="1"/>
    <col min="5" max="5" width="14.42578125" customWidth="1"/>
  </cols>
  <sheetData>
    <row r="1" spans="1:8" ht="31.5">
      <c r="A1" s="70" t="s">
        <v>472</v>
      </c>
    </row>
    <row r="4" spans="1:8" ht="19.5">
      <c r="A4" s="68" t="s">
        <v>601</v>
      </c>
    </row>
    <row r="5" spans="1:8">
      <c r="B5" s="73" t="s">
        <v>837</v>
      </c>
      <c r="C5" s="477">
        <f ca="1">TODAY()</f>
        <v>45780</v>
      </c>
      <c r="D5" s="477"/>
      <c r="E5" s="477"/>
      <c r="F5" s="477"/>
      <c r="G5" s="477"/>
      <c r="H5" s="369" t="s">
        <v>824</v>
      </c>
    </row>
    <row r="6" spans="1:8">
      <c r="B6" s="73" t="s">
        <v>838</v>
      </c>
      <c r="C6" s="473">
        <v>12345</v>
      </c>
      <c r="D6" s="473"/>
      <c r="E6" s="473"/>
      <c r="F6" s="473"/>
      <c r="G6" s="473"/>
      <c r="H6" s="369" t="s">
        <v>825</v>
      </c>
    </row>
    <row r="7" spans="1:8">
      <c r="B7" s="73" t="s">
        <v>522</v>
      </c>
      <c r="C7" s="478" t="s">
        <v>522</v>
      </c>
      <c r="D7" s="478"/>
      <c r="E7" s="478"/>
      <c r="F7" s="478"/>
      <c r="G7" s="478"/>
      <c r="H7" s="369" t="s">
        <v>826</v>
      </c>
    </row>
    <row r="8" spans="1:8" ht="62.25" customHeight="1">
      <c r="B8" s="368" t="s">
        <v>842</v>
      </c>
      <c r="C8" s="478" t="s">
        <v>818</v>
      </c>
      <c r="D8" s="478"/>
      <c r="E8" s="478"/>
      <c r="F8" s="478"/>
      <c r="G8" s="478"/>
      <c r="H8" s="370" t="s">
        <v>843</v>
      </c>
    </row>
    <row r="9" spans="1:8">
      <c r="B9" s="73" t="s">
        <v>839</v>
      </c>
      <c r="C9" s="473">
        <v>30</v>
      </c>
      <c r="D9" s="473"/>
      <c r="E9" s="473"/>
      <c r="F9" s="473"/>
      <c r="G9" s="473"/>
      <c r="H9" s="369"/>
    </row>
    <row r="10" spans="1:8">
      <c r="B10" t="s">
        <v>840</v>
      </c>
      <c r="C10" s="474" t="str">
        <f>IF(C9&gt;0,C9&amp;" Days","NA")</f>
        <v>30 Days</v>
      </c>
      <c r="D10" s="474"/>
      <c r="E10" s="474"/>
      <c r="F10" s="474"/>
      <c r="G10" s="474"/>
      <c r="H10" s="369"/>
    </row>
    <row r="11" spans="1:8">
      <c r="B11" t="s">
        <v>841</v>
      </c>
      <c r="C11" s="475">
        <f ca="1">C5+C9</f>
        <v>45810</v>
      </c>
      <c r="D11" s="475"/>
      <c r="E11" s="475"/>
      <c r="F11" s="475"/>
      <c r="G11" s="475"/>
      <c r="H11" s="369" t="s">
        <v>827</v>
      </c>
    </row>
    <row r="12" spans="1:8">
      <c r="B12" s="73" t="s">
        <v>836</v>
      </c>
      <c r="C12" s="476">
        <v>0.1</v>
      </c>
      <c r="D12" s="476"/>
      <c r="E12" s="476"/>
      <c r="F12" s="476"/>
      <c r="G12" s="476"/>
      <c r="H12" s="369" t="s">
        <v>836</v>
      </c>
    </row>
    <row r="14" spans="1:8" ht="19.5">
      <c r="A14" s="68" t="s">
        <v>828</v>
      </c>
    </row>
    <row r="15" spans="1:8">
      <c r="B15" s="371" t="s">
        <v>819</v>
      </c>
      <c r="C15" s="49"/>
      <c r="D15" s="49"/>
      <c r="E15" s="49"/>
    </row>
    <row r="16" spans="1:8" ht="15.75" thickBot="1">
      <c r="A16" s="366" t="s">
        <v>272</v>
      </c>
      <c r="B16" s="366" t="s">
        <v>172</v>
      </c>
      <c r="C16" s="366" t="s">
        <v>813</v>
      </c>
      <c r="D16" s="366" t="s">
        <v>814</v>
      </c>
    </row>
    <row r="17" spans="1:4">
      <c r="A17" s="367">
        <v>1</v>
      </c>
      <c r="B17" s="367" t="s">
        <v>820</v>
      </c>
      <c r="C17" s="364">
        <f>IF(B17="","",VLOOKUP(B17,PricingForInvoice[],2,FALSE))</f>
        <v>1000</v>
      </c>
      <c r="D17" s="364">
        <f t="shared" ref="D17:D22" si="0">IF(C17="","",C17*A17)</f>
        <v>1000</v>
      </c>
    </row>
    <row r="18" spans="1:4">
      <c r="A18" s="367">
        <v>5</v>
      </c>
      <c r="B18" s="367" t="s">
        <v>821</v>
      </c>
      <c r="C18" s="364">
        <f>IF(B18="","",VLOOKUP(B18,PricingForInvoice[],2,FALSE))</f>
        <v>1500</v>
      </c>
      <c r="D18" s="364">
        <f t="shared" si="0"/>
        <v>7500</v>
      </c>
    </row>
    <row r="19" spans="1:4">
      <c r="A19" s="367">
        <v>2</v>
      </c>
      <c r="B19" s="367" t="s">
        <v>822</v>
      </c>
      <c r="C19" s="364">
        <f>IF(B19="","",VLOOKUP(B19,PricingForInvoice[],2,FALSE))</f>
        <v>2000</v>
      </c>
      <c r="D19" s="364">
        <f t="shared" si="0"/>
        <v>4000</v>
      </c>
    </row>
    <row r="20" spans="1:4">
      <c r="A20" s="367">
        <v>1</v>
      </c>
      <c r="B20" s="367" t="s">
        <v>832</v>
      </c>
      <c r="C20" s="364">
        <f>IF(B20="","",VLOOKUP(B20,PricingForInvoice[],2,FALSE))</f>
        <v>4000</v>
      </c>
      <c r="D20" s="364">
        <f t="shared" si="0"/>
        <v>4000</v>
      </c>
    </row>
    <row r="21" spans="1:4">
      <c r="A21" s="367"/>
      <c r="B21" s="367"/>
      <c r="C21" s="364" t="str">
        <f>IF(B21="","",VLOOKUP(B21,PricingForInvoice[],2,FALSE))</f>
        <v/>
      </c>
      <c r="D21" s="364" t="str">
        <f t="shared" si="0"/>
        <v/>
      </c>
    </row>
    <row r="22" spans="1:4">
      <c r="A22" s="367"/>
      <c r="B22" s="367"/>
      <c r="C22" s="364" t="str">
        <f>IF(B22="","",VLOOKUP(B22,PricingForInvoice[],2,FALSE))</f>
        <v/>
      </c>
      <c r="D22" s="364" t="str">
        <f t="shared" si="0"/>
        <v/>
      </c>
    </row>
    <row r="23" spans="1:4">
      <c r="C23" s="287" t="s">
        <v>815</v>
      </c>
      <c r="D23" s="365">
        <f>SUM(D17:D22)</f>
        <v>16500</v>
      </c>
    </row>
    <row r="24" spans="1:4">
      <c r="B24" t="s">
        <v>816</v>
      </c>
      <c r="C24" s="285" t="s">
        <v>817</v>
      </c>
      <c r="D24" s="364">
        <f>D23*C12</f>
        <v>1650</v>
      </c>
    </row>
    <row r="25" spans="1:4">
      <c r="C25" s="287" t="s">
        <v>138</v>
      </c>
      <c r="D25" s="365">
        <f>D24+D23</f>
        <v>18150</v>
      </c>
    </row>
    <row r="27" spans="1:4" ht="19.5">
      <c r="A27" s="68" t="s">
        <v>829</v>
      </c>
    </row>
    <row r="29" spans="1:4">
      <c r="B29" t="s">
        <v>172</v>
      </c>
      <c r="C29" t="s">
        <v>747</v>
      </c>
    </row>
    <row r="30" spans="1:4">
      <c r="B30" t="s">
        <v>820</v>
      </c>
      <c r="C30" s="7">
        <v>1000</v>
      </c>
    </row>
    <row r="31" spans="1:4">
      <c r="B31" t="s">
        <v>821</v>
      </c>
      <c r="C31" s="7">
        <f>C30+500</f>
        <v>1500</v>
      </c>
    </row>
    <row r="32" spans="1:4">
      <c r="B32" t="s">
        <v>822</v>
      </c>
      <c r="C32" s="7">
        <f t="shared" ref="C32:C34" si="1">C31+500</f>
        <v>2000</v>
      </c>
    </row>
    <row r="33" spans="2:3">
      <c r="B33" t="s">
        <v>823</v>
      </c>
      <c r="C33" s="7">
        <f t="shared" si="1"/>
        <v>2500</v>
      </c>
    </row>
    <row r="34" spans="2:3">
      <c r="B34" t="s">
        <v>830</v>
      </c>
      <c r="C34" s="7">
        <f t="shared" si="1"/>
        <v>3000</v>
      </c>
    </row>
    <row r="35" spans="2:3">
      <c r="B35" t="s">
        <v>831</v>
      </c>
      <c r="C35" s="7">
        <f t="shared" ref="C35:C39" si="2">C34+500</f>
        <v>3500</v>
      </c>
    </row>
    <row r="36" spans="2:3">
      <c r="B36" t="s">
        <v>832</v>
      </c>
      <c r="C36" s="7">
        <f t="shared" si="2"/>
        <v>4000</v>
      </c>
    </row>
    <row r="37" spans="2:3">
      <c r="B37" t="s">
        <v>833</v>
      </c>
      <c r="C37" s="7">
        <f t="shared" si="2"/>
        <v>4500</v>
      </c>
    </row>
    <row r="38" spans="2:3">
      <c r="B38" t="s">
        <v>834</v>
      </c>
      <c r="C38" s="7">
        <f t="shared" si="2"/>
        <v>5000</v>
      </c>
    </row>
    <row r="39" spans="2:3">
      <c r="B39" t="s">
        <v>835</v>
      </c>
      <c r="C39" s="7">
        <f t="shared" si="2"/>
        <v>5500</v>
      </c>
    </row>
  </sheetData>
  <mergeCells count="8">
    <mergeCell ref="C9:G9"/>
    <mergeCell ref="C10:G10"/>
    <mergeCell ref="C11:G11"/>
    <mergeCell ref="C12:G12"/>
    <mergeCell ref="C5:G5"/>
    <mergeCell ref="C6:G6"/>
    <mergeCell ref="C7:G7"/>
    <mergeCell ref="C8:G8"/>
  </mergeCells>
  <dataValidations count="1">
    <dataValidation type="list" allowBlank="1" showInputMessage="1" showErrorMessage="1" sqref="B17:B22" xr:uid="{A575F738-99DD-41C9-834C-B6B43DEBBE52}">
      <formula1>$B$30:$B$39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53AE-8ECC-486A-9296-1945312FB69E}">
  <sheetPr codeName="Sheet14">
    <tabColor theme="7" tint="0.79998168889431442"/>
    <pageSetUpPr fitToPage="1"/>
  </sheetPr>
  <dimension ref="A1:P76"/>
  <sheetViews>
    <sheetView showGridLines="0" zoomScaleNormal="100" workbookViewId="0"/>
  </sheetViews>
  <sheetFormatPr defaultColWidth="12.7109375" defaultRowHeight="15.75"/>
  <cols>
    <col min="1" max="1" width="3.5703125" style="240" customWidth="1"/>
    <col min="2" max="2" width="28.7109375" style="261" customWidth="1"/>
    <col min="3" max="11" width="17.85546875" style="240" customWidth="1"/>
    <col min="12" max="12" width="3.5703125" style="240" customWidth="1"/>
    <col min="13" max="16384" width="12.7109375" style="240"/>
  </cols>
  <sheetData>
    <row r="1" spans="1:16" ht="45" customHeight="1">
      <c r="A1" s="234" t="s">
        <v>844</v>
      </c>
      <c r="C1" s="234"/>
      <c r="D1" s="234"/>
      <c r="E1" s="234"/>
      <c r="F1" s="242"/>
      <c r="G1" s="242"/>
      <c r="H1" s="242"/>
      <c r="I1" s="242"/>
      <c r="J1" s="242"/>
      <c r="K1" s="242"/>
      <c r="L1" s="241"/>
      <c r="M1" s="243"/>
      <c r="N1" s="243"/>
      <c r="O1" s="243"/>
      <c r="P1" s="243"/>
    </row>
    <row r="2" spans="1:16" ht="32.1" customHeight="1">
      <c r="A2" s="372" t="s">
        <v>607</v>
      </c>
      <c r="C2" s="372"/>
      <c r="D2" s="372"/>
      <c r="E2" s="372"/>
      <c r="F2" s="390" t="s">
        <v>911</v>
      </c>
      <c r="G2" s="372"/>
      <c r="H2" s="372"/>
      <c r="I2" s="372"/>
      <c r="J2" s="372"/>
      <c r="K2" s="372"/>
      <c r="L2" s="241"/>
      <c r="M2" s="243"/>
      <c r="N2" s="390" t="s">
        <v>912</v>
      </c>
      <c r="P2" s="243"/>
    </row>
    <row r="3" spans="1:16" ht="50.1" customHeight="1">
      <c r="A3" s="241"/>
      <c r="B3" s="244" t="s">
        <v>608</v>
      </c>
      <c r="C3" s="245" t="s">
        <v>609</v>
      </c>
      <c r="D3" s="245" t="s">
        <v>610</v>
      </c>
      <c r="E3" s="245" t="s">
        <v>611</v>
      </c>
      <c r="F3" s="245" t="s">
        <v>612</v>
      </c>
      <c r="G3" s="245" t="s">
        <v>613</v>
      </c>
      <c r="H3" s="245" t="s">
        <v>614</v>
      </c>
      <c r="I3" s="245" t="s">
        <v>615</v>
      </c>
      <c r="J3" s="245" t="s">
        <v>616</v>
      </c>
      <c r="K3" s="245" t="s">
        <v>617</v>
      </c>
      <c r="L3" s="241"/>
      <c r="M3" s="243"/>
      <c r="N3" s="3" t="s">
        <v>608</v>
      </c>
      <c r="O3" s="3" t="s">
        <v>480</v>
      </c>
      <c r="P3" s="3" t="s">
        <v>691</v>
      </c>
    </row>
    <row r="4" spans="1:16" ht="21.95" customHeight="1">
      <c r="A4" s="241"/>
      <c r="B4" s="246" t="s">
        <v>618</v>
      </c>
      <c r="C4" s="247">
        <v>50</v>
      </c>
      <c r="D4" s="248">
        <v>0.83</v>
      </c>
      <c r="E4" s="249">
        <v>22</v>
      </c>
      <c r="F4" s="247">
        <f>IFERROR(r_SalesTracking[[#This Row],[TOTAL SOLD]]*r_SalesTracking[[#This Row],[COST PER ITEM]]*(1+r_SalesTracking[[#This Row],[MARKUP PERCENTAGE]]),0)</f>
        <v>2013</v>
      </c>
      <c r="G4" s="247">
        <v>5</v>
      </c>
      <c r="H4" s="247">
        <v>2.5</v>
      </c>
      <c r="I4" s="247">
        <f>IFERROR(r_SalesTracking[[#This Row],[COST PER ITEM]]*r_SalesTracking[[#This Row],[MARKUP PERCENTAGE]]+r_SalesTracking[[#This Row],[SHIPPING CHARGE PER ITEM]]-r_SalesTracking[[#This Row],[SHIPPING COST PER ITEM]],0)</f>
        <v>44</v>
      </c>
      <c r="J4" s="249">
        <v>0</v>
      </c>
      <c r="K4" s="247">
        <f>IFERROR((r_SalesTracking[[#This Row],[TOTAL SOLD]]-r_SalesTracking[[#This Row],[RETURNS]])*r_SalesTracking[[#This Row],[PROFIT PER ITEM]]+(r_SalesTracking[[#This Row],[RETURNS]]*r_SalesTracking[[#This Row],[SHIPPING COST PER ITEM]]),0)</f>
        <v>968</v>
      </c>
      <c r="L4" s="241"/>
      <c r="M4" s="243"/>
      <c r="N4" t="str">
        <f>r_SalesTracking[[#This Row],[PRODUCT NAME]]</f>
        <v>ITEM 1</v>
      </c>
      <c r="O4" s="53">
        <f>r_SalesTracking[[#This Row],[TOTAL REVENUE]]-r_SalesTracking[[#This Row],[TOTAL INCOME]]</f>
        <v>1045</v>
      </c>
      <c r="P4" s="53">
        <f>r_SalesTracking[[#This Row],[TOTAL INCOME]]</f>
        <v>968</v>
      </c>
    </row>
    <row r="5" spans="1:16" ht="21.95" customHeight="1">
      <c r="A5" s="241"/>
      <c r="B5" s="250" t="s">
        <v>619</v>
      </c>
      <c r="C5" s="251">
        <v>24.5</v>
      </c>
      <c r="D5" s="252">
        <v>0.87</v>
      </c>
      <c r="E5" s="253">
        <v>52</v>
      </c>
      <c r="F5" s="251">
        <f>IFERROR(r_SalesTracking[[#This Row],[TOTAL SOLD]]*r_SalesTracking[[#This Row],[COST PER ITEM]]*(1+r_SalesTracking[[#This Row],[MARKUP PERCENTAGE]]),0)</f>
        <v>2382.38</v>
      </c>
      <c r="G5" s="251">
        <v>5</v>
      </c>
      <c r="H5" s="251">
        <v>2.5</v>
      </c>
      <c r="I5" s="251">
        <f>IFERROR(r_SalesTracking[[#This Row],[COST PER ITEM]]*r_SalesTracking[[#This Row],[MARKUP PERCENTAGE]]+r_SalesTracking[[#This Row],[SHIPPING CHARGE PER ITEM]]-r_SalesTracking[[#This Row],[SHIPPING COST PER ITEM]],0)</f>
        <v>23.815000000000001</v>
      </c>
      <c r="J5" s="253">
        <v>1</v>
      </c>
      <c r="K5" s="251">
        <f>IFERROR((r_SalesTracking[[#This Row],[TOTAL SOLD]]-r_SalesTracking[[#This Row],[RETURNS]])*r_SalesTracking[[#This Row],[PROFIT PER ITEM]]+(r_SalesTracking[[#This Row],[RETURNS]]*r_SalesTracking[[#This Row],[SHIPPING COST PER ITEM]]),0)</f>
        <v>1217.0650000000001</v>
      </c>
      <c r="L5" s="241"/>
      <c r="M5" s="243"/>
      <c r="N5" t="str">
        <f>r_SalesTracking[[#This Row],[PRODUCT NAME]]</f>
        <v>ITEM 2</v>
      </c>
      <c r="O5" s="53">
        <f>r_SalesTracking[[#This Row],[TOTAL REVENUE]]-r_SalesTracking[[#This Row],[TOTAL INCOME]]</f>
        <v>1165.3150000000001</v>
      </c>
      <c r="P5" s="53">
        <f>r_SalesTracking[[#This Row],[TOTAL INCOME]]</f>
        <v>1217.0650000000001</v>
      </c>
    </row>
    <row r="6" spans="1:16" ht="21.95" customHeight="1">
      <c r="A6" s="241"/>
      <c r="B6" s="246" t="s">
        <v>620</v>
      </c>
      <c r="C6" s="247">
        <v>19.5</v>
      </c>
      <c r="D6" s="248">
        <v>0.75</v>
      </c>
      <c r="E6" s="249">
        <v>28</v>
      </c>
      <c r="F6" s="247">
        <f>IFERROR(r_SalesTracking[[#This Row],[TOTAL SOLD]]*r_SalesTracking[[#This Row],[COST PER ITEM]]*(1+r_SalesTracking[[#This Row],[MARKUP PERCENTAGE]]),0)</f>
        <v>955.5</v>
      </c>
      <c r="G6" s="247">
        <v>5</v>
      </c>
      <c r="H6" s="247">
        <v>2.5</v>
      </c>
      <c r="I6" s="247">
        <f>IFERROR(r_SalesTracking[[#This Row],[COST PER ITEM]]*r_SalesTracking[[#This Row],[MARKUP PERCENTAGE]]+r_SalesTracking[[#This Row],[SHIPPING CHARGE PER ITEM]]-r_SalesTracking[[#This Row],[SHIPPING COST PER ITEM]],0)</f>
        <v>17.125</v>
      </c>
      <c r="J6" s="249">
        <v>0</v>
      </c>
      <c r="K6" s="247">
        <f>IFERROR((r_SalesTracking[[#This Row],[TOTAL SOLD]]-r_SalesTracking[[#This Row],[RETURNS]])*r_SalesTracking[[#This Row],[PROFIT PER ITEM]]+(r_SalesTracking[[#This Row],[RETURNS]]*r_SalesTracking[[#This Row],[SHIPPING COST PER ITEM]]),0)</f>
        <v>479.5</v>
      </c>
      <c r="L6" s="241"/>
      <c r="N6" t="str">
        <f>r_SalesTracking[[#This Row],[PRODUCT NAME]]</f>
        <v>ITEM 3</v>
      </c>
      <c r="O6" s="53">
        <f>r_SalesTracking[[#This Row],[TOTAL REVENUE]]-r_SalesTracking[[#This Row],[TOTAL INCOME]]</f>
        <v>476</v>
      </c>
      <c r="P6" s="53">
        <f>r_SalesTracking[[#This Row],[TOTAL INCOME]]</f>
        <v>479.5</v>
      </c>
    </row>
    <row r="7" spans="1:16" ht="21.95" customHeight="1">
      <c r="A7" s="241"/>
      <c r="B7" s="250" t="s">
        <v>621</v>
      </c>
      <c r="C7" s="251">
        <v>17.5</v>
      </c>
      <c r="D7" s="252">
        <v>0.9</v>
      </c>
      <c r="E7" s="253">
        <v>55</v>
      </c>
      <c r="F7" s="251">
        <f>IFERROR(r_SalesTracking[[#This Row],[TOTAL SOLD]]*r_SalesTracking[[#This Row],[COST PER ITEM]]*(1+r_SalesTracking[[#This Row],[MARKUP PERCENTAGE]]),0)</f>
        <v>1828.75</v>
      </c>
      <c r="G7" s="251">
        <v>5</v>
      </c>
      <c r="H7" s="251">
        <v>2.5</v>
      </c>
      <c r="I7" s="251">
        <f>IFERROR(r_SalesTracking[[#This Row],[COST PER ITEM]]*r_SalesTracking[[#This Row],[MARKUP PERCENTAGE]]+r_SalesTracking[[#This Row],[SHIPPING CHARGE PER ITEM]]-r_SalesTracking[[#This Row],[SHIPPING COST PER ITEM]],0)</f>
        <v>18.25</v>
      </c>
      <c r="J7" s="253">
        <v>0</v>
      </c>
      <c r="K7" s="251">
        <f>IFERROR((r_SalesTracking[[#This Row],[TOTAL SOLD]]-r_SalesTracking[[#This Row],[RETURNS]])*r_SalesTracking[[#This Row],[PROFIT PER ITEM]]+(r_SalesTracking[[#This Row],[RETURNS]]*r_SalesTracking[[#This Row],[SHIPPING COST PER ITEM]]),0)</f>
        <v>1003.75</v>
      </c>
      <c r="L7" s="241"/>
      <c r="N7" t="str">
        <f>r_SalesTracking[[#This Row],[PRODUCT NAME]]</f>
        <v>ITEM 4</v>
      </c>
      <c r="O7" s="53">
        <f>r_SalesTracking[[#This Row],[TOTAL REVENUE]]-r_SalesTracking[[#This Row],[TOTAL INCOME]]</f>
        <v>825</v>
      </c>
      <c r="P7" s="53">
        <f>r_SalesTracking[[#This Row],[TOTAL INCOME]]</f>
        <v>1003.75</v>
      </c>
    </row>
    <row r="8" spans="1:16" ht="21.95" customHeight="1">
      <c r="A8" s="241"/>
      <c r="B8" s="246" t="s">
        <v>622</v>
      </c>
      <c r="C8" s="247">
        <v>14.5</v>
      </c>
      <c r="D8" s="248">
        <v>0.95</v>
      </c>
      <c r="E8" s="249">
        <v>40</v>
      </c>
      <c r="F8" s="247">
        <f>IFERROR(r_SalesTracking[[#This Row],[TOTAL SOLD]]*r_SalesTracking[[#This Row],[COST PER ITEM]]*(1+r_SalesTracking[[#This Row],[MARKUP PERCENTAGE]]),0)</f>
        <v>1131</v>
      </c>
      <c r="G8" s="247">
        <v>5</v>
      </c>
      <c r="H8" s="247">
        <v>2.5</v>
      </c>
      <c r="I8" s="247">
        <f>IFERROR(r_SalesTracking[[#This Row],[COST PER ITEM]]*r_SalesTracking[[#This Row],[MARKUP PERCENTAGE]]+r_SalesTracking[[#This Row],[SHIPPING CHARGE PER ITEM]]-r_SalesTracking[[#This Row],[SHIPPING COST PER ITEM]],0)</f>
        <v>16.274999999999999</v>
      </c>
      <c r="J8" s="249">
        <v>0</v>
      </c>
      <c r="K8" s="247">
        <f>IFERROR((r_SalesTracking[[#This Row],[TOTAL SOLD]]-r_SalesTracking[[#This Row],[RETURNS]])*r_SalesTracking[[#This Row],[PROFIT PER ITEM]]+(r_SalesTracking[[#This Row],[RETURNS]]*r_SalesTracking[[#This Row],[SHIPPING COST PER ITEM]]),0)</f>
        <v>651</v>
      </c>
      <c r="L8" s="241"/>
      <c r="N8" t="str">
        <f>r_SalesTracking[[#This Row],[PRODUCT NAME]]</f>
        <v>ITEM 5</v>
      </c>
      <c r="O8" s="53">
        <f>r_SalesTracking[[#This Row],[TOTAL REVENUE]]-r_SalesTracking[[#This Row],[TOTAL INCOME]]</f>
        <v>480</v>
      </c>
      <c r="P8" s="53">
        <f>r_SalesTracking[[#This Row],[TOTAL INCOME]]</f>
        <v>651</v>
      </c>
    </row>
    <row r="9" spans="1:16" ht="21.95" customHeight="1">
      <c r="A9" s="241"/>
      <c r="B9" s="250" t="s">
        <v>623</v>
      </c>
      <c r="C9" s="251">
        <v>11</v>
      </c>
      <c r="D9" s="252">
        <v>1</v>
      </c>
      <c r="E9" s="253">
        <v>60</v>
      </c>
      <c r="F9" s="251">
        <f>IFERROR(r_SalesTracking[[#This Row],[TOTAL SOLD]]*r_SalesTracking[[#This Row],[COST PER ITEM]]*(1+r_SalesTracking[[#This Row],[MARKUP PERCENTAGE]]),0)</f>
        <v>1320</v>
      </c>
      <c r="G9" s="251">
        <v>5</v>
      </c>
      <c r="H9" s="251">
        <v>2.5</v>
      </c>
      <c r="I9" s="251">
        <f>IFERROR(r_SalesTracking[[#This Row],[COST PER ITEM]]*r_SalesTracking[[#This Row],[MARKUP PERCENTAGE]]+r_SalesTracking[[#This Row],[SHIPPING CHARGE PER ITEM]]-r_SalesTracking[[#This Row],[SHIPPING COST PER ITEM]],0)</f>
        <v>13.5</v>
      </c>
      <c r="J9" s="253">
        <v>0</v>
      </c>
      <c r="K9" s="251">
        <f>IFERROR((r_SalesTracking[[#This Row],[TOTAL SOLD]]-r_SalesTracking[[#This Row],[RETURNS]])*r_SalesTracking[[#This Row],[PROFIT PER ITEM]]+(r_SalesTracking[[#This Row],[RETURNS]]*r_SalesTracking[[#This Row],[SHIPPING COST PER ITEM]]),0)</f>
        <v>810</v>
      </c>
      <c r="L9" s="241"/>
      <c r="N9" t="str">
        <f>r_SalesTracking[[#This Row],[PRODUCT NAME]]</f>
        <v>ITEM 6</v>
      </c>
      <c r="O9" s="53">
        <f>r_SalesTracking[[#This Row],[TOTAL REVENUE]]-r_SalesTracking[[#This Row],[TOTAL INCOME]]</f>
        <v>510</v>
      </c>
      <c r="P9" s="53">
        <f>r_SalesTracking[[#This Row],[TOTAL INCOME]]</f>
        <v>810</v>
      </c>
    </row>
    <row r="10" spans="1:16" ht="21.95" customHeight="1">
      <c r="A10" s="241"/>
      <c r="B10" s="246" t="s">
        <v>624</v>
      </c>
      <c r="C10" s="247">
        <v>49</v>
      </c>
      <c r="D10" s="248">
        <v>0.65</v>
      </c>
      <c r="E10" s="249">
        <v>37</v>
      </c>
      <c r="F10" s="247">
        <f>IFERROR(r_SalesTracking[[#This Row],[TOTAL SOLD]]*r_SalesTracking[[#This Row],[COST PER ITEM]]*(1+r_SalesTracking[[#This Row],[MARKUP PERCENTAGE]]),0)</f>
        <v>2991.45</v>
      </c>
      <c r="G10" s="247">
        <v>5</v>
      </c>
      <c r="H10" s="247">
        <v>2.5</v>
      </c>
      <c r="I10" s="247">
        <f>IFERROR(r_SalesTracking[[#This Row],[COST PER ITEM]]*r_SalesTracking[[#This Row],[MARKUP PERCENTAGE]]+r_SalesTracking[[#This Row],[SHIPPING CHARGE PER ITEM]]-r_SalesTracking[[#This Row],[SHIPPING COST PER ITEM]],0)</f>
        <v>34.35</v>
      </c>
      <c r="J10" s="249">
        <v>2</v>
      </c>
      <c r="K10" s="247">
        <f>IFERROR((r_SalesTracking[[#This Row],[TOTAL SOLD]]-r_SalesTracking[[#This Row],[RETURNS]])*r_SalesTracking[[#This Row],[PROFIT PER ITEM]]+(r_SalesTracking[[#This Row],[RETURNS]]*r_SalesTracking[[#This Row],[SHIPPING COST PER ITEM]]),0)</f>
        <v>1207.25</v>
      </c>
      <c r="L10" s="241"/>
      <c r="N10" t="str">
        <f>r_SalesTracking[[#This Row],[PRODUCT NAME]]</f>
        <v>ITEM 7</v>
      </c>
      <c r="O10" s="53">
        <f>r_SalesTracking[[#This Row],[TOTAL REVENUE]]-r_SalesTracking[[#This Row],[TOTAL INCOME]]</f>
        <v>1784.1999999999998</v>
      </c>
      <c r="P10" s="53">
        <f>r_SalesTracking[[#This Row],[TOTAL INCOME]]</f>
        <v>1207.25</v>
      </c>
    </row>
    <row r="11" spans="1:16" ht="21.95" customHeight="1">
      <c r="A11" s="241"/>
      <c r="B11" s="250" t="s">
        <v>625</v>
      </c>
      <c r="C11" s="251">
        <v>24.5</v>
      </c>
      <c r="D11" s="252">
        <v>0.92</v>
      </c>
      <c r="E11" s="253">
        <v>44</v>
      </c>
      <c r="F11" s="251">
        <f>IFERROR(r_SalesTracking[[#This Row],[TOTAL SOLD]]*r_SalesTracking[[#This Row],[COST PER ITEM]]*(1+r_SalesTracking[[#This Row],[MARKUP PERCENTAGE]]),0)</f>
        <v>2069.7599999999998</v>
      </c>
      <c r="G11" s="251">
        <v>5</v>
      </c>
      <c r="H11" s="251">
        <v>2.5</v>
      </c>
      <c r="I11" s="251">
        <f>IFERROR(r_SalesTracking[[#This Row],[COST PER ITEM]]*r_SalesTracking[[#This Row],[MARKUP PERCENTAGE]]+r_SalesTracking[[#This Row],[SHIPPING CHARGE PER ITEM]]-r_SalesTracking[[#This Row],[SHIPPING COST PER ITEM]],0)</f>
        <v>25.040000000000003</v>
      </c>
      <c r="J11" s="253">
        <v>0</v>
      </c>
      <c r="K11" s="251">
        <f>IFERROR((r_SalesTracking[[#This Row],[TOTAL SOLD]]-r_SalesTracking[[#This Row],[RETURNS]])*r_SalesTracking[[#This Row],[PROFIT PER ITEM]]+(r_SalesTracking[[#This Row],[RETURNS]]*r_SalesTracking[[#This Row],[SHIPPING COST PER ITEM]]),0)</f>
        <v>1101.7600000000002</v>
      </c>
      <c r="L11" s="241"/>
      <c r="N11" t="str">
        <f>r_SalesTracking[[#This Row],[PRODUCT NAME]]</f>
        <v>ITEM 8</v>
      </c>
      <c r="O11" s="53">
        <f>r_SalesTracking[[#This Row],[TOTAL REVENUE]]-r_SalesTracking[[#This Row],[TOTAL INCOME]]</f>
        <v>967.99999999999955</v>
      </c>
      <c r="P11" s="53">
        <f>r_SalesTracking[[#This Row],[TOTAL INCOME]]</f>
        <v>1101.7600000000002</v>
      </c>
    </row>
    <row r="12" spans="1:16" ht="39.950000000000003" customHeight="1">
      <c r="A12" s="372" t="s">
        <v>626</v>
      </c>
      <c r="C12" s="372"/>
      <c r="D12" s="372"/>
      <c r="E12" s="372"/>
      <c r="F12" s="372"/>
      <c r="H12" s="372"/>
      <c r="I12" s="372"/>
      <c r="J12" s="372"/>
      <c r="K12" s="372"/>
      <c r="L12" s="241"/>
      <c r="M12" s="243"/>
      <c r="N12" s="243"/>
      <c r="O12" s="243"/>
      <c r="P12" s="243"/>
    </row>
    <row r="13" spans="1:16" ht="24" customHeight="1">
      <c r="A13" s="241"/>
      <c r="B13" s="254"/>
      <c r="C13" s="255" t="s">
        <v>618</v>
      </c>
      <c r="D13" s="255" t="s">
        <v>619</v>
      </c>
      <c r="E13" s="255" t="s">
        <v>620</v>
      </c>
      <c r="F13" s="255" t="s">
        <v>621</v>
      </c>
      <c r="G13" s="255" t="s">
        <v>622</v>
      </c>
      <c r="H13" s="255" t="s">
        <v>623</v>
      </c>
      <c r="I13" s="255" t="s">
        <v>624</v>
      </c>
      <c r="J13" s="255" t="s">
        <v>625</v>
      </c>
      <c r="K13" s="255" t="s">
        <v>627</v>
      </c>
      <c r="L13" s="241"/>
    </row>
    <row r="14" spans="1:16" ht="21.95" customHeight="1">
      <c r="A14" s="241"/>
      <c r="B14" s="256" t="s">
        <v>612</v>
      </c>
      <c r="C14" s="251">
        <f>F4</f>
        <v>2013</v>
      </c>
      <c r="D14" s="251">
        <f>F5</f>
        <v>2382.38</v>
      </c>
      <c r="E14" s="251">
        <f>F6</f>
        <v>955.5</v>
      </c>
      <c r="F14" s="251">
        <f>F7</f>
        <v>1828.75</v>
      </c>
      <c r="G14" s="251">
        <f>F8</f>
        <v>1131</v>
      </c>
      <c r="H14" s="251">
        <f>F9</f>
        <v>1320</v>
      </c>
      <c r="I14" s="251">
        <f>F10</f>
        <v>2991.45</v>
      </c>
      <c r="J14" s="251">
        <f>F11</f>
        <v>2069.7599999999998</v>
      </c>
      <c r="K14" s="251">
        <f>SUM(C14:J14)</f>
        <v>14691.840000000002</v>
      </c>
      <c r="L14" s="241"/>
    </row>
    <row r="15" spans="1:16" ht="21.95" customHeight="1">
      <c r="A15" s="241"/>
      <c r="B15" s="256" t="s">
        <v>628</v>
      </c>
      <c r="C15" s="257">
        <f>C14/K14</f>
        <v>0.13701483272347098</v>
      </c>
      <c r="D15" s="257">
        <f>D14/K14</f>
        <v>0.16215668017076143</v>
      </c>
      <c r="E15" s="257">
        <f>E14/K14</f>
        <v>6.5036101672765287E-2</v>
      </c>
      <c r="F15" s="257">
        <f>F14/K14</f>
        <v>0.12447385759714234</v>
      </c>
      <c r="G15" s="257">
        <f>G14/K14</f>
        <v>7.6981508102456866E-2</v>
      </c>
      <c r="H15" s="257">
        <f>H14/K14</f>
        <v>8.9845791949817025E-2</v>
      </c>
      <c r="I15" s="257">
        <f>I14/K14</f>
        <v>0.20361302600627282</v>
      </c>
      <c r="J15" s="257">
        <f>J14/K14</f>
        <v>0.14087820177731308</v>
      </c>
      <c r="K15" s="257">
        <f>SUM(C15:J15)</f>
        <v>0.99999999999999978</v>
      </c>
      <c r="L15" s="241"/>
    </row>
    <row r="16" spans="1:16" ht="18" customHeight="1">
      <c r="A16" s="241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41"/>
    </row>
    <row r="17" spans="1:16" ht="72" customHeight="1">
      <c r="A17" s="241"/>
      <c r="B17" s="480" t="s">
        <v>607</v>
      </c>
      <c r="C17" s="480"/>
      <c r="D17" s="480"/>
      <c r="E17" s="480"/>
      <c r="F17" s="480"/>
      <c r="G17" s="480"/>
      <c r="H17" s="480"/>
      <c r="I17" s="480"/>
      <c r="J17" s="480"/>
      <c r="K17" s="480"/>
      <c r="L17" s="241"/>
      <c r="M17" s="243"/>
      <c r="N17" s="243"/>
      <c r="O17" s="243"/>
      <c r="P17" s="243"/>
    </row>
    <row r="18" spans="1:16" ht="17.25">
      <c r="A18" s="241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41"/>
      <c r="M18" s="241"/>
      <c r="N18" s="241"/>
      <c r="O18" s="241"/>
      <c r="P18" s="241"/>
    </row>
    <row r="19" spans="1:16" ht="17.25">
      <c r="A19" s="241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41"/>
      <c r="M19" s="241"/>
      <c r="N19" s="241"/>
      <c r="O19" s="241"/>
      <c r="P19" s="241"/>
    </row>
    <row r="20" spans="1:16" ht="17.25">
      <c r="A20" s="241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41"/>
      <c r="M20" s="241"/>
      <c r="N20" s="241"/>
      <c r="O20" s="241"/>
      <c r="P20" s="241"/>
    </row>
    <row r="21" spans="1:16" ht="17.25">
      <c r="A21" s="241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41"/>
      <c r="M21" s="241"/>
      <c r="N21" s="241"/>
      <c r="O21" s="241"/>
      <c r="P21" s="241"/>
    </row>
    <row r="22" spans="1:16" ht="17.25">
      <c r="A22" s="241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41"/>
      <c r="M22" s="241"/>
      <c r="N22" s="241"/>
      <c r="O22" s="241"/>
      <c r="P22" s="241"/>
    </row>
    <row r="23" spans="1:16" ht="17.25">
      <c r="A23" s="241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41"/>
      <c r="M23" s="241"/>
      <c r="N23" s="241"/>
      <c r="O23" s="241"/>
      <c r="P23" s="241"/>
    </row>
    <row r="24" spans="1:16" ht="17.25">
      <c r="A24" s="241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41"/>
      <c r="M24" s="241"/>
      <c r="N24" s="241"/>
      <c r="O24" s="241"/>
      <c r="P24" s="241"/>
    </row>
    <row r="25" spans="1:16" ht="17.25">
      <c r="A25" s="241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41"/>
      <c r="M25" s="241"/>
      <c r="N25" s="241"/>
      <c r="O25" s="241"/>
      <c r="P25" s="241"/>
    </row>
    <row r="26" spans="1:16" ht="17.25">
      <c r="A26" s="241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41"/>
      <c r="M26" s="241"/>
      <c r="N26" s="241"/>
      <c r="O26" s="241"/>
      <c r="P26" s="241"/>
    </row>
    <row r="27" spans="1:16" ht="17.25">
      <c r="A27" s="241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41"/>
      <c r="M27" s="241"/>
      <c r="N27" s="241"/>
      <c r="O27" s="241"/>
      <c r="P27" s="241"/>
    </row>
    <row r="28" spans="1:16" ht="17.25">
      <c r="A28" s="241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41"/>
      <c r="M28" s="241"/>
      <c r="N28" s="241"/>
      <c r="O28" s="241"/>
      <c r="P28" s="241"/>
    </row>
    <row r="29" spans="1:16" ht="17.25">
      <c r="A29" s="241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41"/>
      <c r="M29" s="241"/>
      <c r="N29" s="241"/>
      <c r="O29" s="241"/>
      <c r="P29" s="241"/>
    </row>
    <row r="30" spans="1:16" ht="17.25">
      <c r="A30" s="241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41"/>
      <c r="M30" s="241"/>
      <c r="N30" s="241"/>
      <c r="O30" s="241"/>
      <c r="P30" s="241"/>
    </row>
    <row r="31" spans="1:16" ht="17.25">
      <c r="A31" s="241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41"/>
      <c r="M31" s="241"/>
      <c r="N31" s="241"/>
      <c r="O31" s="241"/>
      <c r="P31" s="241"/>
    </row>
    <row r="32" spans="1:16" ht="17.25">
      <c r="A32" s="241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41"/>
      <c r="M32" s="241"/>
      <c r="N32" s="241"/>
      <c r="O32" s="241"/>
      <c r="P32" s="241"/>
    </row>
    <row r="33" spans="1:16" ht="17.25">
      <c r="A33" s="241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41"/>
      <c r="M33" s="241"/>
      <c r="N33" s="241"/>
      <c r="O33" s="241"/>
      <c r="P33" s="241"/>
    </row>
    <row r="34" spans="1:16" ht="17.25">
      <c r="A34" s="241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41"/>
      <c r="M34" s="241"/>
      <c r="N34" s="241"/>
      <c r="O34" s="241"/>
      <c r="P34" s="241"/>
    </row>
    <row r="35" spans="1:16" ht="17.25">
      <c r="A35" s="241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41"/>
      <c r="M35" s="241"/>
      <c r="N35" s="241"/>
      <c r="O35" s="241"/>
      <c r="P35" s="241"/>
    </row>
    <row r="36" spans="1:16" ht="17.25">
      <c r="A36" s="241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41"/>
      <c r="M36" s="241"/>
      <c r="N36" s="241"/>
      <c r="O36" s="241"/>
      <c r="P36" s="241"/>
    </row>
    <row r="37" spans="1:16" ht="17.25">
      <c r="A37" s="241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41"/>
      <c r="M37" s="241"/>
      <c r="N37" s="241"/>
      <c r="O37" s="241"/>
      <c r="P37" s="241"/>
    </row>
    <row r="38" spans="1:16" ht="17.25">
      <c r="A38" s="241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41"/>
      <c r="M38" s="241"/>
      <c r="N38" s="241"/>
      <c r="O38" s="241"/>
      <c r="P38" s="241"/>
    </row>
    <row r="39" spans="1:16" ht="17.25">
      <c r="A39" s="241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41"/>
      <c r="M39" s="241"/>
      <c r="N39" s="241"/>
      <c r="O39" s="241"/>
      <c r="P39" s="241"/>
    </row>
    <row r="40" spans="1:16" ht="18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</row>
    <row r="41" spans="1:16" ht="72" customHeight="1">
      <c r="A41" s="241"/>
      <c r="B41" s="481" t="s">
        <v>626</v>
      </c>
      <c r="C41" s="481"/>
      <c r="D41" s="481"/>
      <c r="E41" s="481"/>
      <c r="F41" s="482" t="s">
        <v>629</v>
      </c>
      <c r="G41" s="482"/>
      <c r="H41" s="482"/>
      <c r="I41" s="482"/>
      <c r="J41" s="482"/>
      <c r="K41" s="482"/>
      <c r="L41" s="241"/>
      <c r="M41" s="241"/>
      <c r="N41" s="241"/>
      <c r="O41" s="241"/>
      <c r="P41" s="241"/>
    </row>
    <row r="42" spans="1:16" ht="17.25">
      <c r="A42" s="241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41"/>
      <c r="M42" s="241"/>
      <c r="N42" s="241"/>
      <c r="O42" s="241"/>
      <c r="P42" s="241"/>
    </row>
    <row r="43" spans="1:16" ht="17.25">
      <c r="A43" s="241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41"/>
      <c r="M43" s="241"/>
      <c r="N43" s="241"/>
      <c r="O43" s="241"/>
      <c r="P43" s="241"/>
    </row>
    <row r="44" spans="1:16" ht="17.25">
      <c r="A44" s="241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41"/>
      <c r="M44" s="241"/>
      <c r="N44" s="241"/>
      <c r="O44" s="241"/>
      <c r="P44" s="241"/>
    </row>
    <row r="45" spans="1:16" ht="17.25">
      <c r="A45" s="241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41"/>
      <c r="M45" s="241"/>
      <c r="N45" s="241"/>
      <c r="O45" s="241"/>
      <c r="P45" s="241"/>
    </row>
    <row r="46" spans="1:16" ht="17.25">
      <c r="A46" s="241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41"/>
      <c r="M46" s="241"/>
      <c r="N46" s="241"/>
      <c r="O46" s="241"/>
      <c r="P46" s="241"/>
    </row>
    <row r="47" spans="1:16" ht="17.25">
      <c r="A47" s="241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41"/>
      <c r="M47" s="241"/>
      <c r="N47" s="241"/>
      <c r="O47" s="241"/>
      <c r="P47" s="241"/>
    </row>
    <row r="48" spans="1:16" ht="17.25">
      <c r="A48" s="241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41"/>
      <c r="M48" s="241"/>
      <c r="N48" s="241"/>
      <c r="O48" s="241"/>
      <c r="P48" s="241"/>
    </row>
    <row r="49" spans="1:16" ht="17.25">
      <c r="A49" s="241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41"/>
      <c r="M49" s="241"/>
      <c r="N49" s="241"/>
      <c r="O49" s="241"/>
      <c r="P49" s="241"/>
    </row>
    <row r="50" spans="1:16" ht="17.25">
      <c r="A50" s="241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41"/>
      <c r="M50" s="241"/>
      <c r="N50" s="241"/>
      <c r="O50" s="241"/>
      <c r="P50" s="241"/>
    </row>
    <row r="51" spans="1:16" ht="17.25">
      <c r="A51" s="241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41"/>
      <c r="M51" s="241"/>
      <c r="N51" s="241"/>
      <c r="O51" s="241"/>
      <c r="P51" s="241"/>
    </row>
    <row r="52" spans="1:16" ht="17.25">
      <c r="A52" s="241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41"/>
      <c r="M52" s="241"/>
      <c r="N52" s="241"/>
      <c r="O52" s="241"/>
      <c r="P52" s="241"/>
    </row>
    <row r="53" spans="1:16" ht="17.25">
      <c r="A53" s="241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41"/>
      <c r="M53" s="241"/>
      <c r="N53" s="241"/>
      <c r="O53" s="241"/>
      <c r="P53" s="241"/>
    </row>
    <row r="54" spans="1:16" ht="17.25">
      <c r="A54" s="241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41"/>
      <c r="M54" s="241"/>
      <c r="N54" s="241"/>
      <c r="O54" s="241"/>
      <c r="P54" s="241"/>
    </row>
    <row r="55" spans="1:16" ht="17.25">
      <c r="A55" s="241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41"/>
      <c r="M55" s="241"/>
      <c r="N55" s="241"/>
      <c r="O55" s="241"/>
      <c r="P55" s="241"/>
    </row>
    <row r="56" spans="1:16" ht="17.25">
      <c r="A56" s="241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41"/>
      <c r="M56" s="241"/>
      <c r="N56" s="241"/>
      <c r="O56" s="241"/>
      <c r="P56" s="241"/>
    </row>
    <row r="57" spans="1:16" ht="17.25">
      <c r="A57" s="241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41"/>
      <c r="M57" s="241"/>
      <c r="N57" s="241"/>
      <c r="O57" s="241"/>
      <c r="P57" s="241"/>
    </row>
    <row r="58" spans="1:16" ht="17.25">
      <c r="A58" s="241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41"/>
      <c r="M58" s="241"/>
      <c r="N58" s="241"/>
      <c r="O58" s="241"/>
      <c r="P58" s="241"/>
    </row>
    <row r="59" spans="1:16" ht="17.25">
      <c r="A59" s="241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41"/>
      <c r="M59" s="241"/>
      <c r="N59" s="241"/>
      <c r="O59" s="241"/>
      <c r="P59" s="241"/>
    </row>
    <row r="60" spans="1:16" ht="18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</row>
    <row r="61" spans="1:16" ht="19.5">
      <c r="A61" s="373" t="s">
        <v>845</v>
      </c>
    </row>
    <row r="62" spans="1:16" ht="31.5">
      <c r="B62" s="208" t="s">
        <v>554</v>
      </c>
      <c r="C62" s="209" t="s">
        <v>555</v>
      </c>
      <c r="D62" s="209" t="s">
        <v>556</v>
      </c>
      <c r="E62" s="209" t="s">
        <v>557</v>
      </c>
      <c r="F62" s="209" t="s">
        <v>558</v>
      </c>
      <c r="G62" s="209" t="s">
        <v>559</v>
      </c>
      <c r="H62" s="209" t="s">
        <v>560</v>
      </c>
      <c r="I62" s="209" t="s">
        <v>561</v>
      </c>
      <c r="J62" s="209" t="s">
        <v>562</v>
      </c>
      <c r="K62" s="209" t="s">
        <v>563</v>
      </c>
    </row>
    <row r="63" spans="1:16">
      <c r="B63" s="210" t="s">
        <v>564</v>
      </c>
      <c r="C63" s="211">
        <v>14</v>
      </c>
      <c r="D63" s="211">
        <v>23</v>
      </c>
      <c r="E63" s="211">
        <v>76</v>
      </c>
      <c r="F63" s="211">
        <v>45</v>
      </c>
      <c r="G63" s="211">
        <v>2</v>
      </c>
      <c r="H63" s="211">
        <v>0</v>
      </c>
      <c r="I63" s="211">
        <v>0</v>
      </c>
      <c r="J63" s="211">
        <v>0</v>
      </c>
      <c r="K63" s="212">
        <f>SUM(r_SalesReport[[#This Row],[IN SALES OFFICE]:[OTHER*]])</f>
        <v>160</v>
      </c>
    </row>
    <row r="64" spans="1:16">
      <c r="B64" s="210" t="s">
        <v>565</v>
      </c>
      <c r="C64" s="211">
        <v>23</v>
      </c>
      <c r="D64" s="211">
        <v>76</v>
      </c>
      <c r="E64" s="211">
        <v>10</v>
      </c>
      <c r="F64" s="211">
        <v>50</v>
      </c>
      <c r="G64" s="211">
        <v>45</v>
      </c>
      <c r="H64" s="211">
        <v>120</v>
      </c>
      <c r="I64" s="211">
        <v>200</v>
      </c>
      <c r="J64" s="211">
        <v>0</v>
      </c>
      <c r="K64" s="212">
        <f>SUM(r_SalesReport[[#This Row],[IN SALES OFFICE]:[OTHER*]])</f>
        <v>524</v>
      </c>
    </row>
    <row r="65" spans="2:11">
      <c r="B65" s="210" t="s">
        <v>566</v>
      </c>
      <c r="C65" s="211">
        <v>4</v>
      </c>
      <c r="D65" s="211">
        <v>130</v>
      </c>
      <c r="E65" s="211">
        <v>11</v>
      </c>
      <c r="F65" s="211">
        <v>33</v>
      </c>
      <c r="G65" s="211">
        <v>85</v>
      </c>
      <c r="H65" s="211">
        <v>300</v>
      </c>
      <c r="I65" s="211">
        <v>0</v>
      </c>
      <c r="J65" s="211">
        <v>10</v>
      </c>
      <c r="K65" s="212">
        <f>SUM(r_SalesReport[[#This Row],[IN SALES OFFICE]:[OTHER*]])</f>
        <v>573</v>
      </c>
    </row>
    <row r="66" spans="2:11">
      <c r="B66" s="210" t="s">
        <v>567</v>
      </c>
      <c r="C66" s="211">
        <v>102</v>
      </c>
      <c r="D66" s="211">
        <v>40</v>
      </c>
      <c r="E66" s="211">
        <v>18</v>
      </c>
      <c r="F66" s="211">
        <v>0</v>
      </c>
      <c r="G66" s="211">
        <v>98</v>
      </c>
      <c r="H66" s="211">
        <v>400</v>
      </c>
      <c r="I66" s="211">
        <v>100</v>
      </c>
      <c r="J66" s="211">
        <v>0</v>
      </c>
      <c r="K66" s="212">
        <f>SUM(r_SalesReport[[#This Row],[IN SALES OFFICE]:[OTHER*]])</f>
        <v>758</v>
      </c>
    </row>
    <row r="67" spans="2:11">
      <c r="B67" s="210" t="s">
        <v>568</v>
      </c>
      <c r="C67" s="211">
        <v>33</v>
      </c>
      <c r="D67" s="211">
        <v>55</v>
      </c>
      <c r="E67" s="211">
        <v>22</v>
      </c>
      <c r="F67" s="211">
        <v>49</v>
      </c>
      <c r="G67" s="211">
        <v>26</v>
      </c>
      <c r="H67" s="211">
        <v>230</v>
      </c>
      <c r="I67" s="211">
        <v>0</v>
      </c>
      <c r="J67" s="211">
        <v>0</v>
      </c>
      <c r="K67" s="212">
        <f>SUM(r_SalesReport[[#This Row],[IN SALES OFFICE]:[OTHER*]])</f>
        <v>415</v>
      </c>
    </row>
    <row r="68" spans="2:11">
      <c r="B68" s="210" t="s">
        <v>569</v>
      </c>
      <c r="C68" s="211">
        <v>0</v>
      </c>
      <c r="D68" s="211">
        <v>0</v>
      </c>
      <c r="E68" s="211">
        <v>0</v>
      </c>
      <c r="F68" s="211">
        <v>0</v>
      </c>
      <c r="G68" s="211">
        <v>44</v>
      </c>
      <c r="H68" s="211">
        <v>0</v>
      </c>
      <c r="I68" s="211">
        <v>0</v>
      </c>
      <c r="J68" s="211">
        <v>0</v>
      </c>
      <c r="K68" s="212">
        <f>SUM(r_SalesReport[[#This Row],[IN SALES OFFICE]:[OTHER*]])</f>
        <v>44</v>
      </c>
    </row>
    <row r="69" spans="2:11">
      <c r="B69" s="210" t="s">
        <v>570</v>
      </c>
      <c r="C69" s="211">
        <v>0</v>
      </c>
      <c r="D69" s="211">
        <v>76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12">
        <f>SUM(r_SalesReport[[#This Row],[IN SALES OFFICE]:[OTHER*]])</f>
        <v>76</v>
      </c>
    </row>
    <row r="70" spans="2:11">
      <c r="B70" s="213" t="s">
        <v>571</v>
      </c>
      <c r="C70" s="214">
        <f>SUBTOTAL(109,r_SalesReport[IN SALES OFFICE])</f>
        <v>176</v>
      </c>
      <c r="D70" s="214">
        <f>SUBTOTAL(109,r_SalesReport[OUTSIDE OFFICE])</f>
        <v>400</v>
      </c>
      <c r="E70" s="214">
        <f>SUBTOTAL(109,r_SalesReport[IN OFFICE VISITS])</f>
        <v>137</v>
      </c>
      <c r="F70" s="214">
        <f>SUBTOTAL(109,r_SalesReport[OUTSIDE CALLS])</f>
        <v>177</v>
      </c>
      <c r="G70" s="214">
        <f>SUBTOTAL(109,r_SalesReport[NEW ACCT. PHONE])</f>
        <v>300</v>
      </c>
      <c r="H70" s="214">
        <f>SUBTOTAL(109,r_SalesReport[FOOD &amp; BEVERAGE])</f>
        <v>1050</v>
      </c>
      <c r="I70" s="214">
        <f>SUBTOTAL(109,r_SalesReport[MTG. ROOM RENTAL])</f>
        <v>300</v>
      </c>
      <c r="J70" s="214">
        <f>SUBTOTAL(109,r_SalesReport[OTHER*])</f>
        <v>10</v>
      </c>
      <c r="K70" s="214">
        <f>SUBTOTAL(109,r_SalesReport[TOTAL])</f>
        <v>2550</v>
      </c>
    </row>
    <row r="71" spans="2:11">
      <c r="B71" s="479"/>
      <c r="C71" s="479"/>
      <c r="D71" s="479"/>
      <c r="E71" s="479"/>
      <c r="F71" s="479"/>
      <c r="G71" s="479"/>
      <c r="H71" s="479"/>
      <c r="I71" s="479"/>
      <c r="J71" s="479"/>
      <c r="K71" s="479"/>
    </row>
    <row r="72" spans="2:11">
      <c r="B72" s="215" t="s">
        <v>572</v>
      </c>
      <c r="C72" s="216">
        <v>200</v>
      </c>
      <c r="D72" s="216">
        <v>400</v>
      </c>
      <c r="E72" s="216">
        <v>300</v>
      </c>
      <c r="F72" s="216">
        <v>65</v>
      </c>
      <c r="G72" s="216">
        <v>300</v>
      </c>
      <c r="H72" s="216">
        <v>600</v>
      </c>
      <c r="I72" s="216">
        <v>300</v>
      </c>
      <c r="J72" s="216">
        <v>300</v>
      </c>
      <c r="K72" s="217">
        <f>SUM(C72:J72)</f>
        <v>2465</v>
      </c>
    </row>
    <row r="73" spans="2:11">
      <c r="B73" s="218" t="s">
        <v>573</v>
      </c>
      <c r="C73" s="219">
        <f>SUM(r_SalesReport[[#Totals],[IN SALES OFFICE]]-C72)</f>
        <v>-24</v>
      </c>
      <c r="D73" s="219">
        <f>SUM(r_SalesReport[[#Totals],[OUTSIDE OFFICE]]-D72)</f>
        <v>0</v>
      </c>
      <c r="E73" s="219">
        <f>SUM(r_SalesReport[[#Totals],[IN OFFICE VISITS]]-E72)</f>
        <v>-163</v>
      </c>
      <c r="F73" s="219">
        <f>SUM(r_SalesReport[[#Totals],[IN OFFICE VISITS]]-F72)</f>
        <v>72</v>
      </c>
      <c r="G73" s="219">
        <f>SUM(r_SalesReport[[#Totals],[NEW ACCT. PHONE]]-G72)</f>
        <v>0</v>
      </c>
      <c r="H73" s="219">
        <f>SUM(r_SalesReport[[#Totals],[FOOD &amp; BEVERAGE]]-H72)</f>
        <v>450</v>
      </c>
      <c r="I73" s="219">
        <f>SUM(r_SalesReport[[#Totals],[MTG. ROOM RENTAL]]-I72)</f>
        <v>0</v>
      </c>
      <c r="J73" s="219">
        <f>SUM(r_SalesReport[[#Totals],[OTHER*]]-J72)</f>
        <v>-290</v>
      </c>
      <c r="K73" s="217">
        <f>SUM(C73:J73)</f>
        <v>45</v>
      </c>
    </row>
    <row r="74" spans="2:11">
      <c r="B74" s="211"/>
      <c r="C74" s="211"/>
      <c r="D74" s="211"/>
      <c r="E74" s="211"/>
      <c r="F74" s="211"/>
      <c r="G74" s="211"/>
      <c r="H74" s="211"/>
      <c r="I74" s="218" t="s">
        <v>574</v>
      </c>
      <c r="J74" s="218"/>
      <c r="K74" s="220">
        <f>K70/K72</f>
        <v>1.0344827586206897</v>
      </c>
    </row>
    <row r="75" spans="2:11">
      <c r="B75" s="211"/>
      <c r="C75" s="211"/>
      <c r="D75" s="211"/>
      <c r="E75" s="211"/>
      <c r="F75" s="211"/>
      <c r="G75" s="211"/>
      <c r="H75" s="211"/>
      <c r="I75" s="211"/>
      <c r="J75" s="211"/>
      <c r="K75" s="211"/>
    </row>
    <row r="76" spans="2:11">
      <c r="B76" s="211"/>
      <c r="C76" s="211"/>
      <c r="D76" s="211"/>
      <c r="E76" s="211"/>
      <c r="F76" s="211"/>
      <c r="G76" s="211"/>
      <c r="H76" s="211"/>
      <c r="I76" s="218" t="s">
        <v>575</v>
      </c>
      <c r="J76" s="218"/>
      <c r="K76" s="221">
        <f>SUBTOTAL(109,r_SalesReport[TOTAL])</f>
        <v>2550</v>
      </c>
    </row>
  </sheetData>
  <mergeCells count="4">
    <mergeCell ref="B71:K71"/>
    <mergeCell ref="B17:K17"/>
    <mergeCell ref="B41:E41"/>
    <mergeCell ref="F41:K41"/>
  </mergeCells>
  <pageMargins left="0.3" right="0.3" top="0.3" bottom="0.3" header="0" footer="0"/>
  <pageSetup scale="40" orientation="portrait" horizontalDpi="1200" verticalDpi="1200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9D467D-98DF-4AA4-AFFB-D7C97305D87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C73:K73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F563-DB6D-4130-9E37-0895D5441E71}">
  <sheetPr codeName="Sheet8">
    <tabColor theme="7" tint="0.79998168889431442"/>
  </sheetPr>
  <dimension ref="A1:O33"/>
  <sheetViews>
    <sheetView workbookViewId="0"/>
  </sheetViews>
  <sheetFormatPr defaultRowHeight="15"/>
  <cols>
    <col min="1" max="1" width="3.140625" customWidth="1"/>
    <col min="2" max="2" width="17.5703125" customWidth="1"/>
    <col min="15" max="15" width="13.28515625" bestFit="1" customWidth="1"/>
  </cols>
  <sheetData>
    <row r="1" spans="1:15" ht="31.5">
      <c r="A1" s="353" t="s">
        <v>812</v>
      </c>
    </row>
    <row r="3" spans="1:15">
      <c r="B3" s="330" t="s">
        <v>798</v>
      </c>
      <c r="C3" s="483">
        <v>45673</v>
      </c>
      <c r="D3" s="48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B4" s="331"/>
      <c r="C4" s="331"/>
      <c r="D4" s="331"/>
      <c r="E4" s="331"/>
      <c r="F4" s="331"/>
      <c r="G4" s="331"/>
      <c r="H4" s="331"/>
      <c r="I4" s="391" t="s">
        <v>913</v>
      </c>
      <c r="J4" s="331"/>
      <c r="K4" s="331"/>
      <c r="L4" s="331"/>
      <c r="M4" s="331"/>
      <c r="N4" s="331"/>
      <c r="O4" s="332" t="s">
        <v>457</v>
      </c>
    </row>
    <row r="5" spans="1:15">
      <c r="B5" s="354" t="s">
        <v>799</v>
      </c>
      <c r="C5" s="355">
        <f>C3</f>
        <v>45673</v>
      </c>
      <c r="D5" s="355">
        <f>EDATE(C5,1)</f>
        <v>45704</v>
      </c>
      <c r="E5" s="355">
        <f t="shared" ref="E5:N5" si="0">EDATE(D5,1)</f>
        <v>45732</v>
      </c>
      <c r="F5" s="355">
        <f t="shared" si="0"/>
        <v>45763</v>
      </c>
      <c r="G5" s="355">
        <f t="shared" si="0"/>
        <v>45793</v>
      </c>
      <c r="H5" s="355">
        <f t="shared" si="0"/>
        <v>45824</v>
      </c>
      <c r="I5" s="355">
        <f t="shared" si="0"/>
        <v>45854</v>
      </c>
      <c r="J5" s="355">
        <f t="shared" si="0"/>
        <v>45885</v>
      </c>
      <c r="K5" s="355">
        <f t="shared" si="0"/>
        <v>45916</v>
      </c>
      <c r="L5" s="355">
        <f t="shared" si="0"/>
        <v>45946</v>
      </c>
      <c r="M5" s="355">
        <f t="shared" si="0"/>
        <v>45977</v>
      </c>
      <c r="N5" s="355">
        <f t="shared" si="0"/>
        <v>46007</v>
      </c>
      <c r="O5" s="356" t="s">
        <v>800</v>
      </c>
    </row>
    <row r="6" spans="1:15">
      <c r="B6" s="358" t="s">
        <v>801</v>
      </c>
      <c r="C6" s="359">
        <v>500</v>
      </c>
      <c r="D6" s="359">
        <v>525</v>
      </c>
      <c r="E6" s="359">
        <v>550</v>
      </c>
      <c r="F6" s="359">
        <v>575</v>
      </c>
      <c r="G6" s="359">
        <v>550</v>
      </c>
      <c r="H6" s="359">
        <v>525</v>
      </c>
      <c r="I6" s="359">
        <v>525</v>
      </c>
      <c r="J6" s="359">
        <v>550</v>
      </c>
      <c r="K6" s="359">
        <v>575</v>
      </c>
      <c r="L6" s="359">
        <v>600</v>
      </c>
      <c r="M6" s="359">
        <v>650</v>
      </c>
      <c r="N6" s="359">
        <v>500</v>
      </c>
      <c r="O6" s="360">
        <f>SUM(C6:N6)</f>
        <v>6625</v>
      </c>
    </row>
    <row r="7" spans="1:15">
      <c r="B7" s="361" t="s">
        <v>802</v>
      </c>
      <c r="C7" s="362">
        <v>1500</v>
      </c>
      <c r="D7" s="362">
        <v>1000</v>
      </c>
      <c r="E7" s="362">
        <v>1000</v>
      </c>
      <c r="F7" s="362">
        <v>1250</v>
      </c>
      <c r="G7" s="362">
        <v>1250</v>
      </c>
      <c r="H7" s="362">
        <v>1500</v>
      </c>
      <c r="I7" s="362">
        <v>1500</v>
      </c>
      <c r="J7" s="362">
        <v>1750</v>
      </c>
      <c r="K7" s="362">
        <v>2000</v>
      </c>
      <c r="L7" s="362">
        <v>2500</v>
      </c>
      <c r="M7" s="362">
        <v>3000</v>
      </c>
      <c r="N7" s="362">
        <v>3000</v>
      </c>
      <c r="O7" s="363">
        <f t="shared" ref="O7" si="1">SUM(C7:N7)</f>
        <v>21250</v>
      </c>
    </row>
    <row r="8" spans="1:15"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3"/>
    </row>
    <row r="9" spans="1:15">
      <c r="B9" s="354" t="s">
        <v>803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6" t="s">
        <v>804</v>
      </c>
    </row>
    <row r="10" spans="1:15">
      <c r="B10" s="334" t="str">
        <f>B14</f>
        <v>Product/Service A</v>
      </c>
      <c r="C10" s="335">
        <v>19.989999999999998</v>
      </c>
      <c r="D10" s="335">
        <v>19.989999999999998</v>
      </c>
      <c r="E10" s="335">
        <v>19.989999999999998</v>
      </c>
      <c r="F10" s="335">
        <v>19.989999999999998</v>
      </c>
      <c r="G10" s="335">
        <v>19.989999999999998</v>
      </c>
      <c r="H10" s="335">
        <v>19.989999999999998</v>
      </c>
      <c r="I10" s="335">
        <v>19.989999999999998</v>
      </c>
      <c r="J10" s="335">
        <v>19.989999999999998</v>
      </c>
      <c r="K10" s="335">
        <v>19.989999999999998</v>
      </c>
      <c r="L10" s="335">
        <v>19.989999999999998</v>
      </c>
      <c r="M10" s="335">
        <v>19.989999999999998</v>
      </c>
      <c r="N10" s="335">
        <v>19.989999999999998</v>
      </c>
      <c r="O10" s="336">
        <f>AVERAGE(C10:N10)</f>
        <v>19.990000000000002</v>
      </c>
    </row>
    <row r="11" spans="1:15">
      <c r="B11" s="337" t="str">
        <f>B15</f>
        <v>Product/Service B</v>
      </c>
      <c r="C11" s="338">
        <v>14.99</v>
      </c>
      <c r="D11" s="338">
        <v>14.99</v>
      </c>
      <c r="E11" s="338">
        <v>14.99</v>
      </c>
      <c r="F11" s="338">
        <v>14.99</v>
      </c>
      <c r="G11" s="338">
        <v>14.99</v>
      </c>
      <c r="H11" s="338">
        <v>14.99</v>
      </c>
      <c r="I11" s="338">
        <v>14.99</v>
      </c>
      <c r="J11" s="338">
        <v>14.99</v>
      </c>
      <c r="K11" s="338">
        <v>14.99</v>
      </c>
      <c r="L11" s="338">
        <v>14.99</v>
      </c>
      <c r="M11" s="338">
        <v>14.99</v>
      </c>
      <c r="N11" s="338">
        <v>14.99</v>
      </c>
      <c r="O11" s="339">
        <f t="shared" ref="O11" si="2">AVERAGE(C11:N11)</f>
        <v>14.990000000000002</v>
      </c>
    </row>
    <row r="12" spans="1:15"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3"/>
    </row>
    <row r="13" spans="1:15">
      <c r="B13" s="354" t="s">
        <v>805</v>
      </c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6" t="s">
        <v>806</v>
      </c>
    </row>
    <row r="14" spans="1:15">
      <c r="B14" s="334" t="str">
        <f>B6</f>
        <v>Product/Service A</v>
      </c>
      <c r="C14" s="340">
        <v>0</v>
      </c>
      <c r="D14" s="340">
        <f t="shared" ref="D14:N15" si="3">(D6/C6)-1</f>
        <v>5.0000000000000044E-2</v>
      </c>
      <c r="E14" s="340">
        <f t="shared" si="3"/>
        <v>4.7619047619047672E-2</v>
      </c>
      <c r="F14" s="340">
        <f t="shared" si="3"/>
        <v>4.5454545454545414E-2</v>
      </c>
      <c r="G14" s="340">
        <f t="shared" si="3"/>
        <v>-4.3478260869565188E-2</v>
      </c>
      <c r="H14" s="340">
        <f t="shared" si="3"/>
        <v>-4.5454545454545414E-2</v>
      </c>
      <c r="I14" s="340">
        <f t="shared" si="3"/>
        <v>0</v>
      </c>
      <c r="J14" s="340">
        <f t="shared" si="3"/>
        <v>4.7619047619047672E-2</v>
      </c>
      <c r="K14" s="340">
        <f t="shared" si="3"/>
        <v>4.5454545454545414E-2</v>
      </c>
      <c r="L14" s="340">
        <f t="shared" si="3"/>
        <v>4.3478260869565188E-2</v>
      </c>
      <c r="M14" s="340">
        <f t="shared" si="3"/>
        <v>8.3333333333333259E-2</v>
      </c>
      <c r="N14" s="340">
        <f t="shared" si="3"/>
        <v>-0.23076923076923073</v>
      </c>
      <c r="O14" s="341">
        <f>AVERAGE(D14:N14)</f>
        <v>3.9324312051584849E-3</v>
      </c>
    </row>
    <row r="15" spans="1:15">
      <c r="B15" s="337" t="str">
        <f>B7</f>
        <v>Product/Service B</v>
      </c>
      <c r="C15" s="342">
        <v>0</v>
      </c>
      <c r="D15" s="342">
        <f t="shared" si="3"/>
        <v>-0.33333333333333337</v>
      </c>
      <c r="E15" s="342">
        <f t="shared" si="3"/>
        <v>0</v>
      </c>
      <c r="F15" s="342">
        <f t="shared" si="3"/>
        <v>0.25</v>
      </c>
      <c r="G15" s="342">
        <f t="shared" si="3"/>
        <v>0</v>
      </c>
      <c r="H15" s="342">
        <f t="shared" si="3"/>
        <v>0.19999999999999996</v>
      </c>
      <c r="I15" s="342">
        <f t="shared" si="3"/>
        <v>0</v>
      </c>
      <c r="J15" s="342">
        <f t="shared" si="3"/>
        <v>0.16666666666666674</v>
      </c>
      <c r="K15" s="342">
        <f t="shared" si="3"/>
        <v>0.14285714285714279</v>
      </c>
      <c r="L15" s="342">
        <f t="shared" si="3"/>
        <v>0.25</v>
      </c>
      <c r="M15" s="342">
        <f t="shared" si="3"/>
        <v>0.19999999999999996</v>
      </c>
      <c r="N15" s="342">
        <f t="shared" si="3"/>
        <v>0</v>
      </c>
      <c r="O15" s="343">
        <f t="shared" ref="O15" si="4">AVERAGE(D15:N15)</f>
        <v>7.9653679653679643E-2</v>
      </c>
    </row>
    <row r="16" spans="1:1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3"/>
    </row>
    <row r="17" spans="2:15">
      <c r="B17" s="354" t="s">
        <v>133</v>
      </c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6" t="s">
        <v>251</v>
      </c>
    </row>
    <row r="18" spans="2:15">
      <c r="B18" s="334" t="str">
        <f>B10</f>
        <v>Product/Service A</v>
      </c>
      <c r="C18" s="344">
        <f t="shared" ref="C18:N19" si="5">C6*C10</f>
        <v>9995</v>
      </c>
      <c r="D18" s="344">
        <f t="shared" si="5"/>
        <v>10494.75</v>
      </c>
      <c r="E18" s="344">
        <f t="shared" si="5"/>
        <v>10994.5</v>
      </c>
      <c r="F18" s="344">
        <f t="shared" si="5"/>
        <v>11494.25</v>
      </c>
      <c r="G18" s="344">
        <f t="shared" si="5"/>
        <v>10994.5</v>
      </c>
      <c r="H18" s="344">
        <f t="shared" si="5"/>
        <v>10494.75</v>
      </c>
      <c r="I18" s="344">
        <f t="shared" si="5"/>
        <v>10494.75</v>
      </c>
      <c r="J18" s="344">
        <f t="shared" si="5"/>
        <v>10994.5</v>
      </c>
      <c r="K18" s="344">
        <f t="shared" si="5"/>
        <v>11494.25</v>
      </c>
      <c r="L18" s="344">
        <f t="shared" si="5"/>
        <v>11993.999999999998</v>
      </c>
      <c r="M18" s="344">
        <f t="shared" si="5"/>
        <v>12993.499999999998</v>
      </c>
      <c r="N18" s="344">
        <f t="shared" si="5"/>
        <v>9995</v>
      </c>
      <c r="O18" s="345">
        <f>SUM(C18:N18)</f>
        <v>132433.75</v>
      </c>
    </row>
    <row r="19" spans="2:15">
      <c r="B19" s="346" t="str">
        <f>B11</f>
        <v>Product/Service B</v>
      </c>
      <c r="C19" s="347">
        <f t="shared" si="5"/>
        <v>22485</v>
      </c>
      <c r="D19" s="347">
        <f t="shared" si="5"/>
        <v>14990</v>
      </c>
      <c r="E19" s="347">
        <f t="shared" si="5"/>
        <v>14990</v>
      </c>
      <c r="F19" s="347">
        <f t="shared" si="5"/>
        <v>18737.5</v>
      </c>
      <c r="G19" s="347">
        <f t="shared" si="5"/>
        <v>18737.5</v>
      </c>
      <c r="H19" s="347">
        <f t="shared" si="5"/>
        <v>22485</v>
      </c>
      <c r="I19" s="347">
        <f t="shared" si="5"/>
        <v>22485</v>
      </c>
      <c r="J19" s="347">
        <f t="shared" si="5"/>
        <v>26232.5</v>
      </c>
      <c r="K19" s="347">
        <f t="shared" si="5"/>
        <v>29980</v>
      </c>
      <c r="L19" s="347">
        <f t="shared" si="5"/>
        <v>37475</v>
      </c>
      <c r="M19" s="347">
        <f t="shared" si="5"/>
        <v>44970</v>
      </c>
      <c r="N19" s="347">
        <f t="shared" si="5"/>
        <v>44970</v>
      </c>
      <c r="O19" s="348">
        <f>SUM(C19:N19)</f>
        <v>318537.5</v>
      </c>
    </row>
    <row r="20" spans="2:15">
      <c r="B20" s="349" t="s">
        <v>251</v>
      </c>
      <c r="C20" s="350">
        <f t="shared" ref="C20:N20" si="6">SUM(C18:C19)</f>
        <v>32480</v>
      </c>
      <c r="D20" s="350">
        <f t="shared" si="6"/>
        <v>25484.75</v>
      </c>
      <c r="E20" s="350">
        <f t="shared" si="6"/>
        <v>25984.5</v>
      </c>
      <c r="F20" s="350">
        <f t="shared" si="6"/>
        <v>30231.75</v>
      </c>
      <c r="G20" s="350">
        <f t="shared" si="6"/>
        <v>29732</v>
      </c>
      <c r="H20" s="350">
        <f t="shared" si="6"/>
        <v>32979.75</v>
      </c>
      <c r="I20" s="350">
        <f t="shared" si="6"/>
        <v>32979.75</v>
      </c>
      <c r="J20" s="350">
        <f t="shared" si="6"/>
        <v>37227</v>
      </c>
      <c r="K20" s="350">
        <f t="shared" si="6"/>
        <v>41474.25</v>
      </c>
      <c r="L20" s="350">
        <f t="shared" si="6"/>
        <v>49469</v>
      </c>
      <c r="M20" s="350">
        <f t="shared" si="6"/>
        <v>57963.5</v>
      </c>
      <c r="N20" s="350">
        <f t="shared" si="6"/>
        <v>54965</v>
      </c>
      <c r="O20" s="350">
        <f>SUM(O17:O19)</f>
        <v>450971.25</v>
      </c>
    </row>
    <row r="21" spans="2:15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3"/>
    </row>
    <row r="22" spans="2:15">
      <c r="B22" s="354" t="s">
        <v>807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6" t="s">
        <v>808</v>
      </c>
    </row>
    <row r="23" spans="2:15">
      <c r="B23" s="334" t="str">
        <f>B6</f>
        <v>Product/Service A</v>
      </c>
      <c r="C23" s="335">
        <v>4.5</v>
      </c>
      <c r="D23" s="335">
        <v>4.5</v>
      </c>
      <c r="E23" s="335">
        <v>4.5</v>
      </c>
      <c r="F23" s="335">
        <v>4.5</v>
      </c>
      <c r="G23" s="335">
        <v>4.5</v>
      </c>
      <c r="H23" s="335">
        <v>4.5</v>
      </c>
      <c r="I23" s="335">
        <v>4.5</v>
      </c>
      <c r="J23" s="335">
        <v>4.5</v>
      </c>
      <c r="K23" s="335">
        <v>4.5</v>
      </c>
      <c r="L23" s="335">
        <v>4</v>
      </c>
      <c r="M23" s="335">
        <v>4</v>
      </c>
      <c r="N23" s="335">
        <v>4</v>
      </c>
      <c r="O23" s="336">
        <f>AVERAGE(C23:N23)</f>
        <v>4.375</v>
      </c>
    </row>
    <row r="24" spans="2:15">
      <c r="B24" s="337" t="str">
        <f>B7</f>
        <v>Product/Service B</v>
      </c>
      <c r="C24" s="338">
        <v>3.1</v>
      </c>
      <c r="D24" s="338">
        <v>3.1</v>
      </c>
      <c r="E24" s="338">
        <v>3.1</v>
      </c>
      <c r="F24" s="338">
        <v>3.1</v>
      </c>
      <c r="G24" s="338">
        <v>3.1</v>
      </c>
      <c r="H24" s="338">
        <v>3.1</v>
      </c>
      <c r="I24" s="338">
        <v>3.1</v>
      </c>
      <c r="J24" s="338">
        <v>3.1</v>
      </c>
      <c r="K24" s="338">
        <v>3.1</v>
      </c>
      <c r="L24" s="338">
        <v>3.1</v>
      </c>
      <c r="M24" s="338">
        <v>3.1</v>
      </c>
      <c r="N24" s="338">
        <v>3.1</v>
      </c>
      <c r="O24" s="339">
        <f t="shared" ref="O24" si="7">AVERAGE(C24:N24)</f>
        <v>3.100000000000001</v>
      </c>
    </row>
    <row r="25" spans="2:15"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3"/>
    </row>
    <row r="26" spans="2:15">
      <c r="B26" s="354" t="s">
        <v>809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6" t="s">
        <v>810</v>
      </c>
    </row>
    <row r="27" spans="2:15">
      <c r="B27" s="334" t="str">
        <f>B14</f>
        <v>Product/Service A</v>
      </c>
      <c r="C27" s="351">
        <f t="shared" ref="C27:N28" si="8">C10-C23</f>
        <v>15.489999999999998</v>
      </c>
      <c r="D27" s="351">
        <f t="shared" si="8"/>
        <v>15.489999999999998</v>
      </c>
      <c r="E27" s="351">
        <f t="shared" si="8"/>
        <v>15.489999999999998</v>
      </c>
      <c r="F27" s="351">
        <f t="shared" si="8"/>
        <v>15.489999999999998</v>
      </c>
      <c r="G27" s="351">
        <f t="shared" si="8"/>
        <v>15.489999999999998</v>
      </c>
      <c r="H27" s="351">
        <f t="shared" si="8"/>
        <v>15.489999999999998</v>
      </c>
      <c r="I27" s="351">
        <f t="shared" si="8"/>
        <v>15.489999999999998</v>
      </c>
      <c r="J27" s="351">
        <f t="shared" si="8"/>
        <v>15.489999999999998</v>
      </c>
      <c r="K27" s="351">
        <f t="shared" si="8"/>
        <v>15.489999999999998</v>
      </c>
      <c r="L27" s="351">
        <f t="shared" si="8"/>
        <v>15.989999999999998</v>
      </c>
      <c r="M27" s="351">
        <f t="shared" si="8"/>
        <v>15.989999999999998</v>
      </c>
      <c r="N27" s="351">
        <f t="shared" si="8"/>
        <v>15.989999999999998</v>
      </c>
      <c r="O27" s="336">
        <f>AVERAGE(C27:N27)</f>
        <v>15.615</v>
      </c>
    </row>
    <row r="28" spans="2:15">
      <c r="B28" s="337" t="str">
        <f>B15</f>
        <v>Product/Service B</v>
      </c>
      <c r="C28" s="352">
        <f t="shared" si="8"/>
        <v>11.89</v>
      </c>
      <c r="D28" s="352">
        <f t="shared" si="8"/>
        <v>11.89</v>
      </c>
      <c r="E28" s="352">
        <f t="shared" si="8"/>
        <v>11.89</v>
      </c>
      <c r="F28" s="352">
        <f t="shared" si="8"/>
        <v>11.89</v>
      </c>
      <c r="G28" s="352">
        <f t="shared" si="8"/>
        <v>11.89</v>
      </c>
      <c r="H28" s="352">
        <f t="shared" si="8"/>
        <v>11.89</v>
      </c>
      <c r="I28" s="352">
        <f t="shared" si="8"/>
        <v>11.89</v>
      </c>
      <c r="J28" s="352">
        <f t="shared" si="8"/>
        <v>11.89</v>
      </c>
      <c r="K28" s="352">
        <f t="shared" si="8"/>
        <v>11.89</v>
      </c>
      <c r="L28" s="352">
        <f t="shared" si="8"/>
        <v>11.89</v>
      </c>
      <c r="M28" s="352">
        <f t="shared" si="8"/>
        <v>11.89</v>
      </c>
      <c r="N28" s="352">
        <f t="shared" si="8"/>
        <v>11.89</v>
      </c>
      <c r="O28" s="339">
        <f t="shared" ref="O28" si="9">AVERAGE(C28:N28)</f>
        <v>11.89</v>
      </c>
    </row>
    <row r="29" spans="2:15"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3"/>
    </row>
    <row r="30" spans="2:15">
      <c r="B30" s="354" t="s">
        <v>249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6" t="s">
        <v>138</v>
      </c>
    </row>
    <row r="31" spans="2:15">
      <c r="B31" s="334" t="str">
        <f>B10</f>
        <v>Product/Service A</v>
      </c>
      <c r="C31" s="344">
        <f t="shared" ref="C31:N32" si="10">C6*C27</f>
        <v>7744.9999999999991</v>
      </c>
      <c r="D31" s="344">
        <f t="shared" si="10"/>
        <v>8132.2499999999991</v>
      </c>
      <c r="E31" s="344">
        <f t="shared" si="10"/>
        <v>8519.5</v>
      </c>
      <c r="F31" s="344">
        <f t="shared" si="10"/>
        <v>8906.75</v>
      </c>
      <c r="G31" s="344">
        <f t="shared" si="10"/>
        <v>8519.5</v>
      </c>
      <c r="H31" s="344">
        <f t="shared" si="10"/>
        <v>8132.2499999999991</v>
      </c>
      <c r="I31" s="344">
        <f t="shared" si="10"/>
        <v>8132.2499999999991</v>
      </c>
      <c r="J31" s="344">
        <f t="shared" si="10"/>
        <v>8519.5</v>
      </c>
      <c r="K31" s="344">
        <f t="shared" si="10"/>
        <v>8906.75</v>
      </c>
      <c r="L31" s="344">
        <f t="shared" si="10"/>
        <v>9593.9999999999982</v>
      </c>
      <c r="M31" s="344">
        <f t="shared" si="10"/>
        <v>10393.499999999998</v>
      </c>
      <c r="N31" s="344">
        <f t="shared" si="10"/>
        <v>7994.9999999999991</v>
      </c>
      <c r="O31" s="345">
        <f>SUM(C31:N31)</f>
        <v>103496.25</v>
      </c>
    </row>
    <row r="32" spans="2:15">
      <c r="B32" s="346" t="str">
        <f>B11</f>
        <v>Product/Service B</v>
      </c>
      <c r="C32" s="347">
        <f t="shared" si="10"/>
        <v>17835</v>
      </c>
      <c r="D32" s="347">
        <f t="shared" si="10"/>
        <v>11890</v>
      </c>
      <c r="E32" s="347">
        <f t="shared" si="10"/>
        <v>11890</v>
      </c>
      <c r="F32" s="347">
        <f t="shared" si="10"/>
        <v>14862.5</v>
      </c>
      <c r="G32" s="347">
        <f t="shared" si="10"/>
        <v>14862.5</v>
      </c>
      <c r="H32" s="347">
        <f t="shared" si="10"/>
        <v>17835</v>
      </c>
      <c r="I32" s="347">
        <f t="shared" si="10"/>
        <v>17835</v>
      </c>
      <c r="J32" s="347">
        <f t="shared" si="10"/>
        <v>20807.5</v>
      </c>
      <c r="K32" s="347">
        <f t="shared" si="10"/>
        <v>23780</v>
      </c>
      <c r="L32" s="347">
        <f t="shared" si="10"/>
        <v>29725</v>
      </c>
      <c r="M32" s="347">
        <f t="shared" si="10"/>
        <v>35670</v>
      </c>
      <c r="N32" s="347">
        <f t="shared" si="10"/>
        <v>35670</v>
      </c>
      <c r="O32" s="348">
        <f>SUM(C32:N32)</f>
        <v>252662.5</v>
      </c>
    </row>
    <row r="33" spans="2:15">
      <c r="B33" s="349" t="s">
        <v>811</v>
      </c>
      <c r="C33" s="350">
        <f t="shared" ref="C33:N33" si="11">SUM(C31:C32)</f>
        <v>25580</v>
      </c>
      <c r="D33" s="350">
        <f t="shared" si="11"/>
        <v>20022.25</v>
      </c>
      <c r="E33" s="350">
        <f t="shared" si="11"/>
        <v>20409.5</v>
      </c>
      <c r="F33" s="350">
        <f t="shared" si="11"/>
        <v>23769.25</v>
      </c>
      <c r="G33" s="350">
        <f t="shared" si="11"/>
        <v>23382</v>
      </c>
      <c r="H33" s="350">
        <f t="shared" si="11"/>
        <v>25967.25</v>
      </c>
      <c r="I33" s="350">
        <f t="shared" si="11"/>
        <v>25967.25</v>
      </c>
      <c r="J33" s="350">
        <f t="shared" si="11"/>
        <v>29327</v>
      </c>
      <c r="K33" s="350">
        <f t="shared" si="11"/>
        <v>32686.75</v>
      </c>
      <c r="L33" s="350">
        <f t="shared" si="11"/>
        <v>39319</v>
      </c>
      <c r="M33" s="350">
        <f t="shared" si="11"/>
        <v>46063.5</v>
      </c>
      <c r="N33" s="350">
        <f t="shared" si="11"/>
        <v>43665</v>
      </c>
      <c r="O33" s="350">
        <f>SUM(O30:O32)</f>
        <v>356158.75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32CF-5B62-45C1-9146-B5D8319E60ED}">
  <sheetPr codeName="Sheet23">
    <tabColor theme="7" tint="0.79998168889431442"/>
  </sheetPr>
  <dimension ref="A1:L52"/>
  <sheetViews>
    <sheetView workbookViewId="0"/>
  </sheetViews>
  <sheetFormatPr defaultRowHeight="15"/>
  <cols>
    <col min="1" max="1" width="3.85546875" customWidth="1"/>
    <col min="2" max="2" width="22.42578125" customWidth="1"/>
    <col min="3" max="3" width="21" customWidth="1"/>
    <col min="4" max="4" width="13.7109375" customWidth="1"/>
    <col min="5" max="5" width="13.5703125" bestFit="1" customWidth="1"/>
    <col min="6" max="6" width="10.5703125" bestFit="1" customWidth="1"/>
    <col min="7" max="7" width="10.7109375" customWidth="1"/>
    <col min="8" max="8" width="14.28515625" customWidth="1"/>
    <col min="9" max="9" width="11.42578125" customWidth="1"/>
    <col min="10" max="10" width="21" bestFit="1" customWidth="1"/>
    <col min="11" max="11" width="12.7109375" bestFit="1" customWidth="1"/>
  </cols>
  <sheetData>
    <row r="1" spans="1:11" ht="31.5">
      <c r="A1" s="70" t="s">
        <v>588</v>
      </c>
    </row>
    <row r="2" spans="1:11">
      <c r="B2" s="49" t="s">
        <v>849</v>
      </c>
      <c r="C2" s="49"/>
      <c r="D2" s="49"/>
      <c r="E2" s="49"/>
      <c r="F2" s="49"/>
      <c r="G2" s="49"/>
      <c r="H2" s="49"/>
      <c r="I2" s="49"/>
      <c r="J2" s="49"/>
    </row>
    <row r="3" spans="1:11" ht="34.5" customHeight="1">
      <c r="B3" s="459" t="s">
        <v>271</v>
      </c>
      <c r="C3" s="459"/>
      <c r="D3" s="459"/>
      <c r="E3" s="459"/>
      <c r="F3" s="459"/>
      <c r="G3" s="459"/>
      <c r="H3" s="459"/>
      <c r="I3" s="459"/>
      <c r="J3" s="459"/>
    </row>
    <row r="4" spans="1:11" ht="30.75" customHeight="1">
      <c r="B4" s="459" t="s">
        <v>270</v>
      </c>
      <c r="C4" s="459"/>
      <c r="D4" s="459"/>
      <c r="E4" s="459"/>
      <c r="F4" s="459"/>
      <c r="G4" s="459"/>
      <c r="H4" s="459"/>
      <c r="I4" s="459"/>
      <c r="J4" s="459"/>
    </row>
    <row r="5" spans="1:11" ht="32.25" customHeight="1">
      <c r="B5" s="459" t="s">
        <v>887</v>
      </c>
      <c r="C5" s="459"/>
      <c r="D5" s="459"/>
      <c r="E5" s="459"/>
      <c r="F5" s="459"/>
      <c r="G5" s="459"/>
      <c r="H5" s="459"/>
      <c r="I5" s="459"/>
      <c r="J5" s="459"/>
    </row>
    <row r="6" spans="1:11">
      <c r="B6" s="459" t="s">
        <v>914</v>
      </c>
      <c r="C6" s="459"/>
      <c r="D6" s="459"/>
      <c r="E6" s="459"/>
      <c r="F6" s="459"/>
      <c r="G6" s="459"/>
      <c r="H6" s="459"/>
      <c r="I6" s="459"/>
      <c r="J6" s="459"/>
    </row>
    <row r="7" spans="1:11" ht="19.5">
      <c r="A7" s="68" t="s">
        <v>514</v>
      </c>
      <c r="J7" s="369" t="s">
        <v>888</v>
      </c>
    </row>
    <row r="8" spans="1:11">
      <c r="B8" t="s">
        <v>473</v>
      </c>
      <c r="C8" t="s">
        <v>474</v>
      </c>
      <c r="D8" t="s">
        <v>475</v>
      </c>
      <c r="E8" t="s">
        <v>476</v>
      </c>
      <c r="F8" t="s">
        <v>477</v>
      </c>
      <c r="G8" t="s">
        <v>478</v>
      </c>
      <c r="H8" t="s">
        <v>479</v>
      </c>
      <c r="I8" t="s">
        <v>480</v>
      </c>
      <c r="J8" t="s">
        <v>481</v>
      </c>
      <c r="K8" t="s">
        <v>482</v>
      </c>
    </row>
    <row r="9" spans="1:11">
      <c r="B9" s="185" t="s">
        <v>483</v>
      </c>
      <c r="C9" s="185" t="s">
        <v>484</v>
      </c>
      <c r="D9" s="185" t="s">
        <v>485</v>
      </c>
      <c r="E9" s="185" t="s">
        <v>515</v>
      </c>
      <c r="F9" s="185" t="s">
        <v>486</v>
      </c>
      <c r="G9" s="185">
        <v>20</v>
      </c>
      <c r="H9" s="185">
        <v>10</v>
      </c>
      <c r="I9" s="185">
        <v>30</v>
      </c>
      <c r="J9" s="185">
        <f>r_InventoryList[[#This Row],[QTY]]*r_InventoryList[[#This Row],[COST]]</f>
        <v>600</v>
      </c>
      <c r="K9" s="186">
        <f>IFERROR(IF(r_InventoryList[[#This Row],[QTY]]&lt;=r_InventoryList[[#This Row],[REORDER QTY]],1,0),0)</f>
        <v>0</v>
      </c>
    </row>
    <row r="10" spans="1:11">
      <c r="B10" s="185" t="s">
        <v>487</v>
      </c>
      <c r="C10" s="185" t="s">
        <v>488</v>
      </c>
      <c r="D10" s="185" t="s">
        <v>485</v>
      </c>
      <c r="E10" s="185" t="s">
        <v>515</v>
      </c>
      <c r="F10" s="185" t="s">
        <v>486</v>
      </c>
      <c r="G10" s="185">
        <v>30</v>
      </c>
      <c r="H10" s="185">
        <v>15</v>
      </c>
      <c r="I10" s="185">
        <v>40</v>
      </c>
      <c r="J10" s="185">
        <f>r_InventoryList[[#This Row],[QTY]]*r_InventoryList[[#This Row],[COST]]</f>
        <v>1200</v>
      </c>
      <c r="K10" s="186">
        <f>IFERROR(IF(r_InventoryList[[#This Row],[QTY]]&lt;=r_InventoryList[[#This Row],[REORDER QTY]],1,0),0)</f>
        <v>0</v>
      </c>
    </row>
    <row r="11" spans="1:11">
      <c r="B11" s="185" t="s">
        <v>489</v>
      </c>
      <c r="C11" s="185" t="s">
        <v>490</v>
      </c>
      <c r="D11" s="185" t="s">
        <v>491</v>
      </c>
      <c r="E11" s="185" t="s">
        <v>516</v>
      </c>
      <c r="F11" s="185" t="s">
        <v>486</v>
      </c>
      <c r="G11" s="185">
        <v>10</v>
      </c>
      <c r="H11" s="185">
        <v>5</v>
      </c>
      <c r="I11" s="185">
        <v>5</v>
      </c>
      <c r="J11" s="185">
        <f>r_InventoryList[[#This Row],[QTY]]*r_InventoryList[[#This Row],[COST]]</f>
        <v>50</v>
      </c>
      <c r="K11" s="186">
        <f>IFERROR(IF(r_InventoryList[[#This Row],[QTY]]&lt;=r_InventoryList[[#This Row],[REORDER QTY]],1,0),0)</f>
        <v>0</v>
      </c>
    </row>
    <row r="12" spans="1:11" hidden="1">
      <c r="B12" s="185" t="s">
        <v>492</v>
      </c>
      <c r="C12" s="185" t="s">
        <v>493</v>
      </c>
      <c r="D12" s="185" t="s">
        <v>494</v>
      </c>
      <c r="E12" s="185" t="s">
        <v>517</v>
      </c>
      <c r="F12" s="185" t="s">
        <v>495</v>
      </c>
      <c r="G12" s="185">
        <v>40</v>
      </c>
      <c r="H12" s="185">
        <v>10</v>
      </c>
      <c r="I12" s="185">
        <v>15</v>
      </c>
      <c r="J12" s="185">
        <f>r_InventoryList[[#This Row],[QTY]]*r_InventoryList[[#This Row],[COST]]</f>
        <v>600</v>
      </c>
      <c r="K12" s="186">
        <f>IFERROR(IF(r_InventoryList[[#This Row],[QTY]]&lt;=r_InventoryList[[#This Row],[REORDER QTY]],1,0),0)</f>
        <v>0</v>
      </c>
    </row>
    <row r="13" spans="1:11" hidden="1">
      <c r="B13" s="185" t="s">
        <v>496</v>
      </c>
      <c r="C13" s="185" t="s">
        <v>497</v>
      </c>
      <c r="D13" s="185" t="s">
        <v>498</v>
      </c>
      <c r="E13" s="185" t="s">
        <v>518</v>
      </c>
      <c r="F13" s="185" t="s">
        <v>486</v>
      </c>
      <c r="G13" s="185">
        <v>12</v>
      </c>
      <c r="H13" s="185">
        <v>10</v>
      </c>
      <c r="I13" s="185">
        <v>26</v>
      </c>
      <c r="J13" s="185">
        <f>r_InventoryList[[#This Row],[QTY]]*r_InventoryList[[#This Row],[COST]]</f>
        <v>312</v>
      </c>
      <c r="K13" s="186">
        <f>IFERROR(IF(r_InventoryList[[#This Row],[QTY]]&lt;=r_InventoryList[[#This Row],[REORDER QTY]],1,0),0)</f>
        <v>0</v>
      </c>
    </row>
    <row r="14" spans="1:11" hidden="1">
      <c r="B14" s="185" t="s">
        <v>499</v>
      </c>
      <c r="C14" s="185" t="s">
        <v>500</v>
      </c>
      <c r="D14" s="185" t="s">
        <v>485</v>
      </c>
      <c r="E14" s="185" t="s">
        <v>515</v>
      </c>
      <c r="F14" s="185" t="s">
        <v>486</v>
      </c>
      <c r="G14" s="185">
        <v>7</v>
      </c>
      <c r="H14" s="185">
        <v>10</v>
      </c>
      <c r="I14" s="185">
        <v>50</v>
      </c>
      <c r="J14" s="185">
        <f>r_InventoryList[[#This Row],[QTY]]*r_InventoryList[[#This Row],[COST]]</f>
        <v>350</v>
      </c>
      <c r="K14" s="186">
        <f>IFERROR(IF(r_InventoryList[[#This Row],[QTY]]&lt;=r_InventoryList[[#This Row],[REORDER QTY]],1,0),0)</f>
        <v>1</v>
      </c>
    </row>
    <row r="15" spans="1:11">
      <c r="B15" s="185" t="s">
        <v>501</v>
      </c>
      <c r="C15" s="185" t="s">
        <v>502</v>
      </c>
      <c r="D15" s="185" t="s">
        <v>503</v>
      </c>
      <c r="E15" s="185" t="s">
        <v>519</v>
      </c>
      <c r="F15" s="185" t="s">
        <v>486</v>
      </c>
      <c r="G15" s="185">
        <v>10</v>
      </c>
      <c r="H15" s="185">
        <v>5</v>
      </c>
      <c r="I15" s="185">
        <v>10</v>
      </c>
      <c r="J15" s="185">
        <f>r_InventoryList[[#This Row],[QTY]]*r_InventoryList[[#This Row],[COST]]</f>
        <v>100</v>
      </c>
      <c r="K15" s="186">
        <f>IFERROR(IF(r_InventoryList[[#This Row],[QTY]]&lt;=r_InventoryList[[#This Row],[REORDER QTY]],1,0),0)</f>
        <v>0</v>
      </c>
    </row>
    <row r="16" spans="1:11">
      <c r="B16" s="185" t="s">
        <v>504</v>
      </c>
      <c r="C16" s="185" t="s">
        <v>505</v>
      </c>
      <c r="D16" s="185" t="s">
        <v>491</v>
      </c>
      <c r="E16" s="185" t="s">
        <v>516</v>
      </c>
      <c r="F16" s="185" t="s">
        <v>486</v>
      </c>
      <c r="G16" s="185">
        <v>19</v>
      </c>
      <c r="H16" s="185">
        <v>10</v>
      </c>
      <c r="I16" s="185">
        <v>3</v>
      </c>
      <c r="J16" s="185">
        <f>r_InventoryList[[#This Row],[QTY]]*r_InventoryList[[#This Row],[COST]]</f>
        <v>57</v>
      </c>
      <c r="K16" s="186">
        <f>IFERROR(IF(r_InventoryList[[#This Row],[QTY]]&lt;=r_InventoryList[[#This Row],[REORDER QTY]],1,0),0)</f>
        <v>0</v>
      </c>
    </row>
    <row r="17" spans="1:11">
      <c r="B17" s="185" t="s">
        <v>506</v>
      </c>
      <c r="C17" s="185" t="s">
        <v>507</v>
      </c>
      <c r="D17" s="185" t="s">
        <v>508</v>
      </c>
      <c r="E17" s="185" t="s">
        <v>520</v>
      </c>
      <c r="F17" s="185" t="s">
        <v>509</v>
      </c>
      <c r="G17" s="185">
        <v>20</v>
      </c>
      <c r="H17" s="185">
        <v>30</v>
      </c>
      <c r="I17" s="185">
        <v>14</v>
      </c>
      <c r="J17" s="185">
        <f>r_InventoryList[[#This Row],[QTY]]*r_InventoryList[[#This Row],[COST]]</f>
        <v>280</v>
      </c>
      <c r="K17" s="186">
        <f>IFERROR(IF(r_InventoryList[[#This Row],[QTY]]&lt;=r_InventoryList[[#This Row],[REORDER QTY]],1,0),0)</f>
        <v>1</v>
      </c>
    </row>
    <row r="18" spans="1:11">
      <c r="B18" s="185" t="s">
        <v>510</v>
      </c>
      <c r="C18" s="185" t="s">
        <v>511</v>
      </c>
      <c r="D18" s="185" t="s">
        <v>503</v>
      </c>
      <c r="E18" s="185" t="s">
        <v>519</v>
      </c>
      <c r="F18" s="185" t="s">
        <v>486</v>
      </c>
      <c r="G18" s="185">
        <v>15</v>
      </c>
      <c r="H18" s="185">
        <v>8</v>
      </c>
      <c r="I18" s="185">
        <v>60</v>
      </c>
      <c r="J18" s="185">
        <f>r_InventoryList[[#This Row],[QTY]]*r_InventoryList[[#This Row],[COST]]</f>
        <v>900</v>
      </c>
      <c r="K18" s="186">
        <f>IFERROR(IF(r_InventoryList[[#This Row],[QTY]]&lt;=r_InventoryList[[#This Row],[REORDER QTY]],1,0),0)</f>
        <v>0</v>
      </c>
    </row>
    <row r="19" spans="1:11">
      <c r="B19" s="185" t="s">
        <v>512</v>
      </c>
      <c r="C19" s="185" t="s">
        <v>513</v>
      </c>
      <c r="D19" s="185" t="s">
        <v>503</v>
      </c>
      <c r="E19" s="185" t="s">
        <v>519</v>
      </c>
      <c r="F19" s="185" t="s">
        <v>486</v>
      </c>
      <c r="G19" s="185">
        <v>25</v>
      </c>
      <c r="H19" s="185">
        <v>15</v>
      </c>
      <c r="I19" s="185">
        <v>8</v>
      </c>
      <c r="J19" s="185">
        <f>r_InventoryList[[#This Row],[QTY]]*r_InventoryList[[#This Row],[COST]]</f>
        <v>200</v>
      </c>
      <c r="K19" s="186">
        <f>IFERROR(IF(r_InventoryList[[#This Row],[QTY]]&lt;=r_InventoryList[[#This Row],[REORDER QTY]],1,0),0)</f>
        <v>0</v>
      </c>
    </row>
    <row r="23" spans="1:11" ht="19.5">
      <c r="A23" s="68" t="s">
        <v>289</v>
      </c>
      <c r="F23" s="369" t="s">
        <v>889</v>
      </c>
    </row>
    <row r="24" spans="1:11" ht="19.5">
      <c r="A24" s="68"/>
      <c r="B24" t="s">
        <v>890</v>
      </c>
      <c r="F24" s="369"/>
    </row>
    <row r="25" spans="1:11" ht="45">
      <c r="B25" s="184" t="s">
        <v>576</v>
      </c>
      <c r="C25" s="184" t="s">
        <v>5</v>
      </c>
      <c r="D25" s="184" t="s">
        <v>406</v>
      </c>
      <c r="E25" s="184" t="s">
        <v>577</v>
      </c>
      <c r="F25" s="184" t="s">
        <v>405</v>
      </c>
      <c r="G25" s="184" t="s">
        <v>578</v>
      </c>
      <c r="H25" s="184" t="s">
        <v>579</v>
      </c>
    </row>
    <row r="26" spans="1:11">
      <c r="B26" s="184" t="s">
        <v>580</v>
      </c>
      <c r="C26" s="184" t="s">
        <v>121</v>
      </c>
      <c r="D26" s="222">
        <v>1000</v>
      </c>
      <c r="E26" s="222">
        <v>900</v>
      </c>
      <c r="F26" s="222">
        <v>1100</v>
      </c>
      <c r="G26" s="225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0.10000000000000009</v>
      </c>
      <c r="H26" s="225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0.22222222222222232</v>
      </c>
    </row>
    <row r="27" spans="1:11">
      <c r="B27" s="184" t="s">
        <v>580</v>
      </c>
      <c r="C27" s="184" t="s">
        <v>581</v>
      </c>
      <c r="D27" s="222"/>
      <c r="E27" s="222"/>
      <c r="F27" s="222"/>
      <c r="G27" s="225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7" s="225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28" spans="1:11" ht="30">
      <c r="B28" s="184" t="s">
        <v>248</v>
      </c>
      <c r="C28" s="184" t="s">
        <v>582</v>
      </c>
      <c r="D28" s="222"/>
      <c r="E28" s="222"/>
      <c r="F28" s="222"/>
      <c r="G28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8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29" spans="1:11" ht="30">
      <c r="B29" s="184" t="s">
        <v>248</v>
      </c>
      <c r="C29" s="184" t="s">
        <v>583</v>
      </c>
      <c r="D29" s="222"/>
      <c r="E29" s="222"/>
      <c r="F29" s="222"/>
      <c r="G29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9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0" spans="1:11" ht="30" hidden="1">
      <c r="B30" s="184" t="s">
        <v>584</v>
      </c>
      <c r="C30" s="184" t="s">
        <v>585</v>
      </c>
      <c r="D30" s="222"/>
      <c r="E30" s="222"/>
      <c r="F30" s="222"/>
      <c r="G30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0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1" spans="1:11" ht="30" hidden="1">
      <c r="B31" s="184" t="s">
        <v>584</v>
      </c>
      <c r="C31" s="184" t="s">
        <v>586</v>
      </c>
      <c r="D31" s="222"/>
      <c r="E31" s="222"/>
      <c r="F31" s="222"/>
      <c r="G31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1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2" spans="1:11" ht="30">
      <c r="B32" s="184" t="s">
        <v>584</v>
      </c>
      <c r="C32" s="184" t="s">
        <v>418</v>
      </c>
      <c r="D32" s="222"/>
      <c r="E32" s="222"/>
      <c r="F32" s="222"/>
      <c r="G32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2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3" spans="1:12" ht="30">
      <c r="B33" s="184" t="s">
        <v>584</v>
      </c>
      <c r="C33" s="184" t="s">
        <v>587</v>
      </c>
      <c r="D33" s="222"/>
      <c r="E33" s="222"/>
      <c r="F33" s="222"/>
      <c r="G33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3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4" spans="1:12" ht="30">
      <c r="B34" s="184" t="s">
        <v>584</v>
      </c>
      <c r="C34" s="184" t="s">
        <v>288</v>
      </c>
      <c r="D34" s="222"/>
      <c r="E34" s="222"/>
      <c r="F34" s="222"/>
      <c r="G34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4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5" spans="1:12" ht="30">
      <c r="B35" s="184" t="s">
        <v>584</v>
      </c>
      <c r="C35" s="184" t="s">
        <v>445</v>
      </c>
      <c r="D35" s="222"/>
      <c r="E35" s="222"/>
      <c r="F35" s="222"/>
      <c r="G35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5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6" spans="1:12" ht="30">
      <c r="B36" s="184" t="s">
        <v>107</v>
      </c>
      <c r="C36" s="184"/>
      <c r="D36" s="223">
        <f>SUBTOTAL(109,r_Expenses[Prior Period])</f>
        <v>1000</v>
      </c>
      <c r="E36" s="223">
        <f>SUBTOTAL(109,r_Expenses[Budget])</f>
        <v>900</v>
      </c>
      <c r="F36" s="223">
        <f>SUBTOTAL(109,r_Expenses[Current Period])</f>
        <v>1100</v>
      </c>
      <c r="G36" s="224">
        <f>SUBTOTAL(109,r_Expenses[% Change from Prior Period])</f>
        <v>0.10000000000000009</v>
      </c>
      <c r="H36" s="224">
        <f>SUBTOTAL(109,r_Expenses[% Change from Budget])</f>
        <v>0.22222222222222232</v>
      </c>
    </row>
    <row r="41" spans="1:12" ht="19.5">
      <c r="A41" s="68" t="s">
        <v>848</v>
      </c>
    </row>
    <row r="42" spans="1:12" ht="78" customHeight="1">
      <c r="B42" s="459" t="s">
        <v>269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</row>
    <row r="43" spans="1:12">
      <c r="D43" s="377" t="s">
        <v>891</v>
      </c>
    </row>
    <row r="44" spans="1:12">
      <c r="B44" t="s">
        <v>268</v>
      </c>
      <c r="C44" t="s">
        <v>267</v>
      </c>
      <c r="D44" t="s">
        <v>173</v>
      </c>
      <c r="E44" t="s">
        <v>266</v>
      </c>
    </row>
    <row r="45" spans="1:12">
      <c r="B45" t="s">
        <v>265</v>
      </c>
      <c r="C45" s="376">
        <f ca="1">TODAY()</f>
        <v>45780</v>
      </c>
      <c r="D45" t="s">
        <v>264</v>
      </c>
      <c r="E45" s="394">
        <v>120</v>
      </c>
    </row>
    <row r="46" spans="1:12">
      <c r="B46" s="392" t="s">
        <v>263</v>
      </c>
      <c r="C46" s="393">
        <f t="shared" ref="C46:C51" ca="1" si="0">C45-1</f>
        <v>45779</v>
      </c>
      <c r="D46" s="392" t="s">
        <v>262</v>
      </c>
      <c r="E46" s="395">
        <v>142</v>
      </c>
    </row>
    <row r="47" spans="1:12" hidden="1">
      <c r="B47" s="392" t="s">
        <v>256</v>
      </c>
      <c r="C47" s="393">
        <f t="shared" ca="1" si="0"/>
        <v>45778</v>
      </c>
      <c r="D47" s="392" t="s">
        <v>255</v>
      </c>
      <c r="E47" s="395">
        <v>27</v>
      </c>
    </row>
    <row r="48" spans="1:12">
      <c r="B48" s="392" t="s">
        <v>261</v>
      </c>
      <c r="C48" s="393">
        <f t="shared" ca="1" si="0"/>
        <v>45777</v>
      </c>
      <c r="D48" s="392" t="s">
        <v>260</v>
      </c>
      <c r="E48" s="395">
        <v>33</v>
      </c>
      <c r="H48" s="484"/>
      <c r="I48" s="484"/>
    </row>
    <row r="49" spans="2:5">
      <c r="B49" s="392" t="s">
        <v>259</v>
      </c>
      <c r="C49" s="393">
        <f t="shared" ca="1" si="0"/>
        <v>45776</v>
      </c>
      <c r="D49" s="392" t="s">
        <v>258</v>
      </c>
      <c r="E49" s="395">
        <v>350</v>
      </c>
    </row>
    <row r="50" spans="2:5">
      <c r="B50" s="392" t="s">
        <v>257</v>
      </c>
      <c r="C50" s="393">
        <f t="shared" ca="1" si="0"/>
        <v>45775</v>
      </c>
      <c r="D50" s="392" t="s">
        <v>109</v>
      </c>
      <c r="E50" s="395">
        <v>135</v>
      </c>
    </row>
    <row r="51" spans="2:5" hidden="1">
      <c r="B51" s="392" t="s">
        <v>256</v>
      </c>
      <c r="C51" s="393">
        <f t="shared" ca="1" si="0"/>
        <v>45774</v>
      </c>
      <c r="D51" s="392" t="s">
        <v>255</v>
      </c>
      <c r="E51" s="395">
        <v>97</v>
      </c>
    </row>
    <row r="52" spans="2:5">
      <c r="B52" s="392"/>
      <c r="C52" s="393"/>
      <c r="D52" s="392"/>
      <c r="E52" s="395"/>
    </row>
  </sheetData>
  <mergeCells count="6">
    <mergeCell ref="B4:J4"/>
    <mergeCell ref="B6:J6"/>
    <mergeCell ref="B3:J3"/>
    <mergeCell ref="H48:I48"/>
    <mergeCell ref="B42:L42"/>
    <mergeCell ref="B5:J5"/>
  </mergeCells>
  <dataValidations count="19"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9:D19" xr:uid="{201186D3-D9CA-4D38-9B91-AD148178CD14}">
      <formula1>BinNumber</formula1>
    </dataValidation>
    <dataValidation allowBlank="1" showInputMessage="1" showErrorMessage="1" prompt="A flag icon in this column indicates items in the inventory list that are ready to be reordered" sqref="K8" xr:uid="{53E52E19-5D43-4F90-AA2B-215608770398}"/>
    <dataValidation allowBlank="1" showInputMessage="1" showErrorMessage="1" prompt="The inventory value is automatically calculated in this column using the QTY and COST values from the table" sqref="J8" xr:uid="{2583E7F6-E11F-4FCC-9EF6-850A5EF45CF2}"/>
    <dataValidation allowBlank="1" showInputMessage="1" showErrorMessage="1" prompt="Enter the cost of each item in this column" sqref="I8" xr:uid="{970B81BA-B078-4BF2-85B3-2B0789419879}"/>
    <dataValidation allowBlank="1" showInputMessage="1" showErrorMessage="1" prompt="Enter reorder quantity in this column" sqref="H8" xr:uid="{A6573F1B-FAA4-4115-87FA-058F297B7267}"/>
    <dataValidation allowBlank="1" showInputMessage="1" showErrorMessage="1" prompt="Enter the quantity of each item in this column" sqref="G8" xr:uid="{D65114C2-74EE-4E08-8A67-2494E5A5A48D}"/>
    <dataValidation allowBlank="1" showInputMessage="1" showErrorMessage="1" prompt="Enter unit in this column" sqref="F8" xr:uid="{649CAD68-1ABA-4C17-8344-A63A2E338C05}"/>
    <dataValidation allowBlank="1" showInputMessage="1" showErrorMessage="1" prompt="Location is automatically updated in this column using the Bin # and information in the Bin Lookup worksheet " sqref="E8" xr:uid="{D070EEA8-C831-4960-9A19-C5FAECBF075D}"/>
    <dataValidation allowBlank="1" showInputMessage="1" showErrorMessage="1" prompt="Select the bin number from the dropdown list. Press ALT+DOWN ARROW to open the dropdown list then press ENTER to choose one of the items" sqref="D8" xr:uid="{33D9FAA2-FB27-454F-AA01-D32947371274}"/>
    <dataValidation allowBlank="1" showInputMessage="1" showErrorMessage="1" prompt="Enter a description of the item in this column" sqref="C8" xr:uid="{EFB88B74-A6D8-4A1F-B1CA-755988D66776}"/>
    <dataValidation allowBlank="1" showInputMessage="1" showErrorMessage="1" prompt="Enter SKU in this column" sqref="B8" xr:uid="{4D74710F-A06B-405F-9C77-A23F0C67566E}"/>
    <dataValidation allowBlank="1" showInputMessage="1" showErrorMessage="1" prompt="Select Type in this column under this heading. Press ALT+DOWN ARROW to open the drop-down list, then ENTER to make selection. Use heading filters to find specific entries" sqref="B25" xr:uid="{CB1D7B8D-06A6-40DB-8280-7A14F1B68B4A}"/>
    <dataValidation allowBlank="1" showInputMessage="1" showErrorMessage="1" prompt="Enter Description in this column under this heading" sqref="C25" xr:uid="{F507A4AC-E9D9-4D0A-9396-ECED00CD7100}"/>
    <dataValidation allowBlank="1" showInputMessage="1" showErrorMessage="1" prompt="Enter Prior Period amount in this column under this heading" sqref="D25" xr:uid="{F2745DBE-D94F-4E22-8154-42556BF44A25}"/>
    <dataValidation allowBlank="1" showInputMessage="1" showErrorMessage="1" prompt="Enter Budget amount in this column under this heading" sqref="E25" xr:uid="{65E9F837-8D47-4ED3-9844-049109A25F20}"/>
    <dataValidation allowBlank="1" showInputMessage="1" showErrorMessage="1" prompt="Enter Current Period amount in this column under this heading" sqref="F25" xr:uid="{2992A87D-1911-49A8-9D11-4C1255BD50A9}"/>
    <dataValidation allowBlank="1" showInputMessage="1" showErrorMessage="1" prompt="% Change from Prior Period is automatically calculated in this column under this heading" sqref="G25" xr:uid="{C1C7B78D-0066-4EE0-A659-D001D2BD68E1}"/>
    <dataValidation allowBlank="1" showInputMessage="1" showErrorMessage="1" prompt="% Change from Budget is automatically calculated in this column under this heading" sqref="H25" xr:uid="{D26A4C6E-7D36-445C-AE06-B5C301D9ABE5}"/>
    <dataValidation type="list" errorStyle="warning" allowBlank="1" showInputMessage="1" showErrorMessage="1" error="Select entry from the list. Select CANCEL, then press ALT+DOWN ARROW to open the drop-down list, then ENTER to make selection" sqref="B26:B35" xr:uid="{6E1AB2F8-531B-4BAA-BBA4-E582AB7BF593}">
      <formula1>INDIRECT("Categories[Categories]")</formula1>
    </dataValidation>
  </dataValidation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D5BE-5200-4B53-95BB-EA0183FA2AB8}">
  <sheetPr codeName="Sheet15">
    <tabColor theme="7" tint="0.79998168889431442"/>
  </sheetPr>
  <dimension ref="A1:I68"/>
  <sheetViews>
    <sheetView showGridLines="0" workbookViewId="0"/>
  </sheetViews>
  <sheetFormatPr defaultRowHeight="15"/>
  <cols>
    <col min="1" max="1" width="3" customWidth="1"/>
    <col min="2" max="2" width="30.85546875" customWidth="1"/>
    <col min="3" max="9" width="13.5703125" customWidth="1"/>
  </cols>
  <sheetData>
    <row r="1" spans="1:6" ht="31.5">
      <c r="A1" s="70" t="s">
        <v>687</v>
      </c>
    </row>
    <row r="3" spans="1:6" ht="19.5">
      <c r="A3" s="68" t="s">
        <v>739</v>
      </c>
    </row>
    <row r="4" spans="1:6">
      <c r="E4" s="369" t="s">
        <v>915</v>
      </c>
    </row>
    <row r="5" spans="1:6">
      <c r="B5" s="73"/>
      <c r="C5" s="485" t="s">
        <v>685</v>
      </c>
      <c r="D5" s="486"/>
      <c r="E5" s="485" t="s">
        <v>686</v>
      </c>
      <c r="F5" s="486"/>
    </row>
    <row r="6" spans="1:6">
      <c r="B6" s="290" t="s">
        <v>655</v>
      </c>
      <c r="C6" s="289" t="s">
        <v>656</v>
      </c>
      <c r="D6" s="290" t="s">
        <v>657</v>
      </c>
      <c r="E6" s="290" t="s">
        <v>656</v>
      </c>
      <c r="F6" s="290" t="s">
        <v>657</v>
      </c>
    </row>
    <row r="7" spans="1:6">
      <c r="B7" s="285" t="s">
        <v>658</v>
      </c>
      <c r="C7" s="286">
        <v>1469884.21875</v>
      </c>
      <c r="D7" s="285" t="s">
        <v>659</v>
      </c>
      <c r="E7" s="100">
        <v>370863.35999999987</v>
      </c>
      <c r="F7" s="285" t="s">
        <v>688</v>
      </c>
    </row>
    <row r="8" spans="1:6">
      <c r="B8" s="285" t="s">
        <v>683</v>
      </c>
      <c r="C8" s="286">
        <v>871042.5</v>
      </c>
      <c r="D8" s="285" t="s">
        <v>665</v>
      </c>
      <c r="E8" s="100">
        <v>194722.62273089995</v>
      </c>
      <c r="F8" s="285" t="s">
        <v>661</v>
      </c>
    </row>
    <row r="9" spans="1:6">
      <c r="B9" s="285" t="s">
        <v>662</v>
      </c>
      <c r="C9" s="286">
        <v>80525.500000000044</v>
      </c>
      <c r="D9" s="285" t="s">
        <v>663</v>
      </c>
      <c r="E9" s="100">
        <v>45246.878618471994</v>
      </c>
      <c r="F9" s="285" t="s">
        <v>684</v>
      </c>
    </row>
    <row r="10" spans="1:6">
      <c r="B10" s="285" t="s">
        <v>667</v>
      </c>
      <c r="C10" s="286">
        <v>0</v>
      </c>
      <c r="D10" s="285" t="s">
        <v>668</v>
      </c>
      <c r="E10" s="100">
        <v>185276.25710158312</v>
      </c>
      <c r="F10" s="285" t="s">
        <v>669</v>
      </c>
    </row>
    <row r="11" spans="1:6">
      <c r="B11" s="285" t="s">
        <v>670</v>
      </c>
      <c r="C11" s="286">
        <v>148230.00000000003</v>
      </c>
      <c r="D11" s="285" t="s">
        <v>671</v>
      </c>
      <c r="E11" s="100">
        <v>39528</v>
      </c>
      <c r="F11" s="285" t="s">
        <v>672</v>
      </c>
    </row>
    <row r="12" spans="1:6">
      <c r="B12" s="285" t="s">
        <v>673</v>
      </c>
      <c r="C12" s="286">
        <v>65620</v>
      </c>
      <c r="D12" s="285" t="s">
        <v>674</v>
      </c>
      <c r="E12" s="100">
        <v>0</v>
      </c>
      <c r="F12" s="285" t="s">
        <v>666</v>
      </c>
    </row>
    <row r="13" spans="1:6">
      <c r="B13" s="285" t="s">
        <v>675</v>
      </c>
      <c r="C13" s="286">
        <v>34891.822968749984</v>
      </c>
      <c r="D13" s="285" t="s">
        <v>676</v>
      </c>
      <c r="E13" s="100">
        <v>20237.257321874993</v>
      </c>
      <c r="F13" s="285" t="s">
        <v>677</v>
      </c>
    </row>
    <row r="14" spans="1:6">
      <c r="B14" s="285" t="s">
        <v>678</v>
      </c>
      <c r="C14" s="286">
        <v>60572.061590389087</v>
      </c>
      <c r="D14" s="285" t="s">
        <v>679</v>
      </c>
      <c r="E14" s="100">
        <v>0</v>
      </c>
      <c r="F14" s="285" t="s">
        <v>666</v>
      </c>
    </row>
    <row r="15" spans="1:6">
      <c r="B15" s="285" t="s">
        <v>680</v>
      </c>
      <c r="C15" s="286">
        <v>273076.61033091397</v>
      </c>
      <c r="D15" s="285" t="s">
        <v>681</v>
      </c>
      <c r="E15" s="100">
        <v>63107.011867124689</v>
      </c>
      <c r="F15" s="285" t="s">
        <v>682</v>
      </c>
    </row>
    <row r="16" spans="1:6">
      <c r="B16" s="287" t="s">
        <v>138</v>
      </c>
      <c r="C16" s="288">
        <f>SUM(C7:C15)</f>
        <v>3003842.7136400528</v>
      </c>
      <c r="D16" s="73"/>
      <c r="E16" s="288">
        <f>SUM(E7:E15)</f>
        <v>918981.38763995469</v>
      </c>
      <c r="F16" s="73"/>
    </row>
    <row r="18" spans="1:9">
      <c r="B18" t="s">
        <v>740</v>
      </c>
    </row>
    <row r="19" spans="1:9">
      <c r="B19" s="318" t="str">
        <f>"Total cloud TCO is " &amp;TEXT(E16,"$#,##0")&amp;". That is a "&amp;TEXT((C16-E16)/C16,"0%")&amp;" savings."</f>
        <v>Total cloud TCO is $918,981. That is a 69% savings.</v>
      </c>
    </row>
    <row r="20" spans="1:9">
      <c r="B20" s="369" t="s">
        <v>916</v>
      </c>
    </row>
    <row r="23" spans="1:9" ht="20.25" thickBot="1">
      <c r="A23" s="68" t="s">
        <v>689</v>
      </c>
      <c r="H23" t="s">
        <v>917</v>
      </c>
    </row>
    <row r="24" spans="1:9" ht="15.75" thickBot="1">
      <c r="B24" s="291" t="s">
        <v>655</v>
      </c>
      <c r="C24" s="291" t="s">
        <v>667</v>
      </c>
      <c r="D24" s="291" t="s">
        <v>457</v>
      </c>
      <c r="E24" s="291" t="s">
        <v>458</v>
      </c>
      <c r="F24" s="291" t="s">
        <v>459</v>
      </c>
      <c r="G24" s="291" t="s">
        <v>652</v>
      </c>
      <c r="H24" s="291" t="s">
        <v>653</v>
      </c>
      <c r="I24" s="292" t="s">
        <v>138</v>
      </c>
    </row>
    <row r="25" spans="1:9">
      <c r="B25" s="293" t="s">
        <v>658</v>
      </c>
      <c r="C25" s="396">
        <v>0</v>
      </c>
      <c r="D25" s="396">
        <v>61810.559999999976</v>
      </c>
      <c r="E25" s="396">
        <v>61810.559999999976</v>
      </c>
      <c r="F25" s="396">
        <v>61810.559999999976</v>
      </c>
      <c r="G25" s="396">
        <v>92715.839999999953</v>
      </c>
      <c r="H25" s="396">
        <v>92715.839999999953</v>
      </c>
      <c r="I25" s="397">
        <v>370863.35999999987</v>
      </c>
    </row>
    <row r="26" spans="1:9">
      <c r="B26" s="293" t="s">
        <v>660</v>
      </c>
      <c r="C26" s="396">
        <v>0</v>
      </c>
      <c r="D26" s="396">
        <v>30180.268799999994</v>
      </c>
      <c r="E26" s="396">
        <v>33952.802399999993</v>
      </c>
      <c r="F26" s="396">
        <v>38291.216039999985</v>
      </c>
      <c r="G26" s="396">
        <v>43280.391725999987</v>
      </c>
      <c r="H26" s="396">
        <v>49017.943764899974</v>
      </c>
      <c r="I26" s="397">
        <v>194722.62273089995</v>
      </c>
    </row>
    <row r="27" spans="1:9">
      <c r="B27" s="293" t="s">
        <v>662</v>
      </c>
      <c r="C27" s="396">
        <v>0</v>
      </c>
      <c r="D27" s="396">
        <v>7359.2663039999979</v>
      </c>
      <c r="E27" s="396">
        <v>7661.0689919999977</v>
      </c>
      <c r="F27" s="396">
        <v>8008.1420831999976</v>
      </c>
      <c r="G27" s="396">
        <v>10879.698538079996</v>
      </c>
      <c r="H27" s="396">
        <v>11338.702701191996</v>
      </c>
      <c r="I27" s="397">
        <v>45246.878618471994</v>
      </c>
    </row>
    <row r="28" spans="1:9">
      <c r="B28" s="293" t="s">
        <v>664</v>
      </c>
      <c r="C28" s="396">
        <v>0</v>
      </c>
      <c r="D28" s="396">
        <v>0</v>
      </c>
      <c r="E28" s="396">
        <v>0</v>
      </c>
      <c r="F28" s="396">
        <v>0</v>
      </c>
      <c r="G28" s="396">
        <v>0</v>
      </c>
      <c r="H28" s="396">
        <v>0</v>
      </c>
      <c r="I28" s="397">
        <v>0</v>
      </c>
    </row>
    <row r="29" spans="1:9">
      <c r="B29" s="293" t="s">
        <v>667</v>
      </c>
      <c r="C29" s="396">
        <v>185276.25710158312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7">
        <v>185276.25710158312</v>
      </c>
    </row>
    <row r="30" spans="1:9">
      <c r="B30" s="293" t="s">
        <v>670</v>
      </c>
      <c r="C30" s="396">
        <v>0</v>
      </c>
      <c r="D30" s="396">
        <v>6588</v>
      </c>
      <c r="E30" s="396">
        <v>6588</v>
      </c>
      <c r="F30" s="396">
        <v>6588</v>
      </c>
      <c r="G30" s="396">
        <v>9882</v>
      </c>
      <c r="H30" s="396">
        <v>9882</v>
      </c>
      <c r="I30" s="397">
        <v>39528</v>
      </c>
    </row>
    <row r="31" spans="1:9">
      <c r="B31" s="293" t="s">
        <v>673</v>
      </c>
      <c r="C31" s="396">
        <v>0</v>
      </c>
      <c r="D31" s="396">
        <v>0</v>
      </c>
      <c r="E31" s="396">
        <v>0</v>
      </c>
      <c r="F31" s="396">
        <v>0</v>
      </c>
      <c r="G31" s="396">
        <v>0</v>
      </c>
      <c r="H31" s="396">
        <v>0</v>
      </c>
      <c r="I31" s="397">
        <v>0</v>
      </c>
    </row>
    <row r="32" spans="1:9">
      <c r="B32" s="293" t="s">
        <v>675</v>
      </c>
      <c r="C32" s="396">
        <v>0</v>
      </c>
      <c r="D32" s="396">
        <v>3001.4999999999995</v>
      </c>
      <c r="E32" s="396">
        <v>3451.7249999999995</v>
      </c>
      <c r="F32" s="396">
        <v>3969.4837499999985</v>
      </c>
      <c r="G32" s="396">
        <v>4564.9063124999975</v>
      </c>
      <c r="H32" s="396">
        <v>5249.6422593749976</v>
      </c>
      <c r="I32" s="397">
        <v>20237.257321874993</v>
      </c>
    </row>
    <row r="33" spans="1:9">
      <c r="B33" s="293" t="s">
        <v>678</v>
      </c>
      <c r="C33" s="396">
        <v>0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7">
        <v>0</v>
      </c>
    </row>
    <row r="34" spans="1:9" ht="15.75" thickBot="1">
      <c r="B34" s="293" t="s">
        <v>680</v>
      </c>
      <c r="C34" s="396">
        <v>0</v>
      </c>
      <c r="D34" s="396">
        <v>10235.159510399999</v>
      </c>
      <c r="E34" s="396">
        <v>10687.615639199998</v>
      </c>
      <c r="F34" s="396">
        <v>11207.940187319997</v>
      </c>
      <c r="G34" s="396">
        <v>15144.083657657997</v>
      </c>
      <c r="H34" s="396">
        <v>15832.212872546694</v>
      </c>
      <c r="I34" s="397">
        <v>63107.011867124689</v>
      </c>
    </row>
    <row r="35" spans="1:9" ht="15.75" thickTop="1">
      <c r="B35" s="293" t="s">
        <v>138</v>
      </c>
      <c r="C35" s="398">
        <v>185276.25710158312</v>
      </c>
      <c r="D35" s="398">
        <v>119174.75461439998</v>
      </c>
      <c r="E35" s="398">
        <v>124151.77203119997</v>
      </c>
      <c r="F35" s="398">
        <v>129875.34206051996</v>
      </c>
      <c r="G35" s="398">
        <v>176466.92023423794</v>
      </c>
      <c r="H35" s="398">
        <v>184036.34159801362</v>
      </c>
      <c r="I35" s="398">
        <v>918981.38763995469</v>
      </c>
    </row>
    <row r="40" spans="1:9" ht="20.25" thickBot="1">
      <c r="A40" s="68" t="s">
        <v>690</v>
      </c>
    </row>
    <row r="41" spans="1:9" ht="15.75" thickBot="1">
      <c r="B41" s="291" t="s">
        <v>655</v>
      </c>
      <c r="C41" s="291" t="s">
        <v>667</v>
      </c>
      <c r="D41" s="291" t="s">
        <v>457</v>
      </c>
      <c r="E41" s="291" t="s">
        <v>458</v>
      </c>
      <c r="F41" s="291" t="s">
        <v>459</v>
      </c>
      <c r="G41" s="291" t="s">
        <v>652</v>
      </c>
      <c r="H41" s="291" t="s">
        <v>653</v>
      </c>
      <c r="I41" s="291" t="s">
        <v>138</v>
      </c>
    </row>
    <row r="42" spans="1:9">
      <c r="B42" s="293" t="s">
        <v>658</v>
      </c>
      <c r="C42" s="396">
        <v>0</v>
      </c>
      <c r="D42" s="396">
        <v>293976.84375</v>
      </c>
      <c r="E42" s="396">
        <v>293976.84375</v>
      </c>
      <c r="F42" s="396">
        <v>293976.84375</v>
      </c>
      <c r="G42" s="396">
        <v>293976.84375</v>
      </c>
      <c r="H42" s="396">
        <v>293976.84375</v>
      </c>
      <c r="I42" s="397">
        <v>1469884.21875</v>
      </c>
    </row>
    <row r="43" spans="1:9">
      <c r="B43" s="293" t="s">
        <v>660</v>
      </c>
      <c r="C43" s="396">
        <v>0</v>
      </c>
      <c r="D43" s="396">
        <v>0</v>
      </c>
      <c r="E43" s="396">
        <v>0</v>
      </c>
      <c r="F43" s="396">
        <v>0</v>
      </c>
      <c r="G43" s="396">
        <v>0</v>
      </c>
      <c r="H43" s="396">
        <v>0</v>
      </c>
      <c r="I43" s="397">
        <v>0</v>
      </c>
    </row>
    <row r="44" spans="1:9">
      <c r="B44" s="293" t="s">
        <v>662</v>
      </c>
      <c r="C44" s="396">
        <v>0</v>
      </c>
      <c r="D44" s="396">
        <v>16105.100000000009</v>
      </c>
      <c r="E44" s="396">
        <v>16105.100000000009</v>
      </c>
      <c r="F44" s="396">
        <v>16105.100000000009</v>
      </c>
      <c r="G44" s="396">
        <v>16105.100000000009</v>
      </c>
      <c r="H44" s="396">
        <v>16105.100000000009</v>
      </c>
      <c r="I44" s="397">
        <v>80525.500000000044</v>
      </c>
    </row>
    <row r="45" spans="1:9">
      <c r="B45" s="293" t="s">
        <v>664</v>
      </c>
      <c r="C45" s="396">
        <v>0</v>
      </c>
      <c r="D45" s="396">
        <v>871042.5</v>
      </c>
      <c r="E45" s="396">
        <v>0</v>
      </c>
      <c r="F45" s="396">
        <v>0</v>
      </c>
      <c r="G45" s="396">
        <v>0</v>
      </c>
      <c r="H45" s="396">
        <v>0</v>
      </c>
      <c r="I45" s="397">
        <v>871042.5</v>
      </c>
    </row>
    <row r="46" spans="1:9">
      <c r="B46" s="293" t="s">
        <v>667</v>
      </c>
      <c r="C46" s="396">
        <v>0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7">
        <v>0</v>
      </c>
    </row>
    <row r="47" spans="1:9">
      <c r="B47" s="293" t="s">
        <v>670</v>
      </c>
      <c r="C47" s="396">
        <v>0</v>
      </c>
      <c r="D47" s="396">
        <v>29646.000000000004</v>
      </c>
      <c r="E47" s="396">
        <v>29646.000000000004</v>
      </c>
      <c r="F47" s="396">
        <v>29646.000000000004</v>
      </c>
      <c r="G47" s="396">
        <v>29646.000000000004</v>
      </c>
      <c r="H47" s="396">
        <v>29646.000000000004</v>
      </c>
      <c r="I47" s="397">
        <v>148230.00000000003</v>
      </c>
    </row>
    <row r="48" spans="1:9">
      <c r="B48" s="293" t="s">
        <v>673</v>
      </c>
      <c r="C48" s="396">
        <v>0</v>
      </c>
      <c r="D48" s="396">
        <v>12240</v>
      </c>
      <c r="E48" s="396">
        <v>12580</v>
      </c>
      <c r="F48" s="396">
        <v>12920</v>
      </c>
      <c r="G48" s="396">
        <v>13600</v>
      </c>
      <c r="H48" s="396">
        <v>14280</v>
      </c>
      <c r="I48" s="397">
        <v>65620</v>
      </c>
    </row>
    <row r="49" spans="1:9">
      <c r="B49" s="293" t="s">
        <v>675</v>
      </c>
      <c r="C49" s="396">
        <v>0</v>
      </c>
      <c r="D49" s="396">
        <v>5175</v>
      </c>
      <c r="E49" s="396">
        <v>5951.2499999999982</v>
      </c>
      <c r="F49" s="396">
        <v>6843.9374999999973</v>
      </c>
      <c r="G49" s="396">
        <v>7870.5281249999962</v>
      </c>
      <c r="H49" s="396">
        <v>9051.1073437499945</v>
      </c>
      <c r="I49" s="397">
        <v>34891.822968749984</v>
      </c>
    </row>
    <row r="50" spans="1:9">
      <c r="B50" s="293" t="s">
        <v>678</v>
      </c>
      <c r="C50" s="396">
        <v>0</v>
      </c>
      <c r="D50" s="396">
        <v>12114.412318077817</v>
      </c>
      <c r="E50" s="396">
        <v>12114.412318077817</v>
      </c>
      <c r="F50" s="396">
        <v>12114.412318077817</v>
      </c>
      <c r="G50" s="396">
        <v>12114.412318077817</v>
      </c>
      <c r="H50" s="396">
        <v>12114.412318077817</v>
      </c>
      <c r="I50" s="397">
        <v>60572.061590389087</v>
      </c>
    </row>
    <row r="51" spans="1:9" ht="15.75" thickBot="1">
      <c r="B51" s="293" t="s">
        <v>680</v>
      </c>
      <c r="C51" s="396">
        <v>0</v>
      </c>
      <c r="D51" s="396">
        <v>124029.98560680781</v>
      </c>
      <c r="E51" s="396">
        <v>37037.360606807786</v>
      </c>
      <c r="F51" s="396">
        <v>37160.629356807789</v>
      </c>
      <c r="G51" s="396">
        <v>37331.288419307784</v>
      </c>
      <c r="H51" s="396">
        <v>37517.346341182791</v>
      </c>
      <c r="I51" s="397">
        <v>273076.61033091397</v>
      </c>
    </row>
    <row r="52" spans="1:9" ht="15.75" thickTop="1">
      <c r="B52" s="293" t="s">
        <v>138</v>
      </c>
      <c r="C52" s="398">
        <v>0</v>
      </c>
      <c r="D52" s="398">
        <v>1364329.8416748857</v>
      </c>
      <c r="E52" s="398">
        <v>407410.96667488565</v>
      </c>
      <c r="F52" s="398">
        <v>408766.92292488564</v>
      </c>
      <c r="G52" s="398">
        <v>410644.17261238565</v>
      </c>
      <c r="H52" s="398">
        <v>412690.80975301063</v>
      </c>
      <c r="I52" s="398">
        <v>3003842.7136400528</v>
      </c>
    </row>
    <row r="57" spans="1:9" ht="19.5">
      <c r="A57" s="68" t="s">
        <v>735</v>
      </c>
      <c r="E57" t="s">
        <v>918</v>
      </c>
    </row>
    <row r="58" spans="1:9" ht="15.75" thickBot="1"/>
    <row r="59" spans="1:9" ht="61.5" thickTop="1" thickBot="1">
      <c r="B59" s="317" t="s">
        <v>724</v>
      </c>
      <c r="C59" s="317" t="s">
        <v>725</v>
      </c>
      <c r="D59" s="317" t="s">
        <v>726</v>
      </c>
      <c r="E59" s="317" t="s">
        <v>736</v>
      </c>
      <c r="F59" s="317" t="s">
        <v>737</v>
      </c>
    </row>
    <row r="60" spans="1:9" ht="16.5" thickTop="1" thickBot="1">
      <c r="B60" s="313" t="s">
        <v>727</v>
      </c>
      <c r="C60" s="314">
        <v>55</v>
      </c>
      <c r="D60" s="314">
        <v>130</v>
      </c>
      <c r="E60" s="314" t="s">
        <v>738</v>
      </c>
      <c r="F60" s="314" t="s">
        <v>666</v>
      </c>
    </row>
    <row r="61" spans="1:9" ht="15.75" thickBot="1">
      <c r="B61" s="313" t="s">
        <v>728</v>
      </c>
      <c r="C61" s="314">
        <v>110</v>
      </c>
      <c r="D61" s="314">
        <v>200</v>
      </c>
      <c r="E61" s="314" t="s">
        <v>738</v>
      </c>
      <c r="F61" s="314" t="s">
        <v>666</v>
      </c>
    </row>
    <row r="62" spans="1:9" ht="15.75" thickBot="1">
      <c r="B62" s="313" t="s">
        <v>729</v>
      </c>
      <c r="C62" s="314">
        <v>145</v>
      </c>
      <c r="D62" s="314">
        <v>295</v>
      </c>
      <c r="E62" s="314" t="s">
        <v>738</v>
      </c>
      <c r="F62" s="314" t="s">
        <v>666</v>
      </c>
    </row>
    <row r="63" spans="1:9" ht="15.75" thickBot="1">
      <c r="B63" s="313" t="s">
        <v>730</v>
      </c>
      <c r="C63" s="314">
        <v>290</v>
      </c>
      <c r="D63" s="314">
        <v>690</v>
      </c>
      <c r="E63" s="314" t="s">
        <v>738</v>
      </c>
      <c r="F63" s="314" t="s">
        <v>666</v>
      </c>
    </row>
    <row r="64" spans="1:9" ht="15.75" thickBot="1">
      <c r="B64" s="313" t="s">
        <v>731</v>
      </c>
      <c r="C64" s="314">
        <v>436</v>
      </c>
      <c r="D64" s="314">
        <v>1186</v>
      </c>
      <c r="E64" s="314" t="s">
        <v>738</v>
      </c>
      <c r="F64" s="314" t="s">
        <v>666</v>
      </c>
    </row>
    <row r="65" spans="2:6" ht="15.75" thickBot="1">
      <c r="B65" s="313" t="s">
        <v>732</v>
      </c>
      <c r="C65" s="314">
        <v>872</v>
      </c>
      <c r="D65" s="314">
        <v>2372</v>
      </c>
      <c r="E65" s="314" t="s">
        <v>738</v>
      </c>
      <c r="F65" s="314" t="s">
        <v>666</v>
      </c>
    </row>
    <row r="66" spans="2:6" ht="15.75" thickBot="1">
      <c r="B66" s="313" t="s">
        <v>733</v>
      </c>
      <c r="C66" s="314">
        <v>2180</v>
      </c>
      <c r="D66" s="314">
        <v>5180</v>
      </c>
      <c r="E66" s="314" t="s">
        <v>738</v>
      </c>
      <c r="F66" s="314" t="s">
        <v>666</v>
      </c>
    </row>
    <row r="67" spans="2:6" ht="15.75" thickBot="1">
      <c r="B67" s="315" t="s">
        <v>734</v>
      </c>
      <c r="C67" s="316">
        <v>3400</v>
      </c>
      <c r="D67" s="316">
        <v>6400</v>
      </c>
      <c r="E67" s="316" t="s">
        <v>738</v>
      </c>
      <c r="F67" s="316" t="s">
        <v>666</v>
      </c>
    </row>
    <row r="68" spans="2:6" ht="15.75" thickTop="1"/>
  </sheetData>
  <mergeCells count="2">
    <mergeCell ref="C5:D5"/>
    <mergeCell ref="E5:F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EC12-3F44-4DEC-A32F-3A8CB052DE82}">
  <sheetPr codeName="Sheet17">
    <tabColor theme="7" tint="0.79998168889431442"/>
  </sheetPr>
  <dimension ref="A1:F37"/>
  <sheetViews>
    <sheetView showGridLines="0" workbookViewId="0"/>
  </sheetViews>
  <sheetFormatPr defaultRowHeight="15"/>
  <cols>
    <col min="1" max="1" width="3" customWidth="1"/>
    <col min="2" max="2" width="34.28515625" customWidth="1"/>
    <col min="3" max="6" width="13.140625" customWidth="1"/>
  </cols>
  <sheetData>
    <row r="1" spans="1:6" ht="31.5">
      <c r="A1" s="70" t="s">
        <v>723</v>
      </c>
    </row>
    <row r="2" spans="1:6" ht="15.75" thickBot="1">
      <c r="E2" t="s">
        <v>919</v>
      </c>
    </row>
    <row r="3" spans="1:6" ht="23.25" thickBot="1">
      <c r="B3" s="310" t="s">
        <v>692</v>
      </c>
      <c r="C3" s="310" t="s">
        <v>693</v>
      </c>
      <c r="D3" s="310" t="s">
        <v>533</v>
      </c>
      <c r="E3" s="310" t="s">
        <v>694</v>
      </c>
      <c r="F3" s="310" t="s">
        <v>525</v>
      </c>
    </row>
    <row r="4" spans="1:6" ht="24.75" thickTop="1" thickBot="1">
      <c r="B4" s="489" t="s">
        <v>695</v>
      </c>
      <c r="C4" s="490"/>
      <c r="D4" s="490"/>
      <c r="E4" s="490"/>
      <c r="F4" s="294"/>
    </row>
    <row r="5" spans="1:6" ht="15.75" thickBot="1">
      <c r="B5" s="302" t="s">
        <v>696</v>
      </c>
      <c r="C5" s="298">
        <v>6258</v>
      </c>
      <c r="D5" s="299"/>
      <c r="E5" s="299"/>
      <c r="F5" s="300">
        <f>SUM(C5:E5)</f>
        <v>6258</v>
      </c>
    </row>
    <row r="6" spans="1:6" ht="15.75" thickBot="1">
      <c r="B6" s="302" t="s">
        <v>697</v>
      </c>
      <c r="C6" s="298">
        <v>8553</v>
      </c>
      <c r="D6" s="299"/>
      <c r="E6" s="299"/>
      <c r="F6" s="300">
        <f t="shared" ref="F6:F10" si="0">SUM(C6:E6)</f>
        <v>8553</v>
      </c>
    </row>
    <row r="7" spans="1:6" ht="15.75" thickBot="1">
      <c r="B7" s="302" t="s">
        <v>698</v>
      </c>
      <c r="C7" s="298">
        <v>1666</v>
      </c>
      <c r="D7" s="299"/>
      <c r="E7" s="299"/>
      <c r="F7" s="300">
        <f t="shared" si="0"/>
        <v>1666</v>
      </c>
    </row>
    <row r="8" spans="1:6" ht="15.75" thickBot="1">
      <c r="B8" s="302" t="s">
        <v>699</v>
      </c>
      <c r="C8" s="298">
        <v>3534</v>
      </c>
      <c r="D8" s="299"/>
      <c r="E8" s="299"/>
      <c r="F8" s="300">
        <f t="shared" si="0"/>
        <v>3534</v>
      </c>
    </row>
    <row r="9" spans="1:6" ht="15.75" thickBot="1">
      <c r="B9" s="302" t="s">
        <v>700</v>
      </c>
      <c r="C9" s="299"/>
      <c r="D9" s="298">
        <v>5938</v>
      </c>
      <c r="E9" s="299"/>
      <c r="F9" s="300">
        <f t="shared" si="0"/>
        <v>5938</v>
      </c>
    </row>
    <row r="10" spans="1:6" ht="15.75" thickBot="1">
      <c r="B10" s="304" t="s">
        <v>701</v>
      </c>
      <c r="C10" s="305"/>
      <c r="D10" s="306">
        <v>3919</v>
      </c>
      <c r="E10" s="305"/>
      <c r="F10" s="307">
        <f t="shared" si="0"/>
        <v>3919</v>
      </c>
    </row>
    <row r="11" spans="1:6" ht="16.5" thickTop="1" thickBot="1">
      <c r="B11" s="308" t="s">
        <v>138</v>
      </c>
      <c r="C11" s="309">
        <f>SUM(C5:C10)</f>
        <v>20011</v>
      </c>
      <c r="D11" s="309">
        <f t="shared" ref="D11:F11" si="1">SUM(D5:D10)</f>
        <v>9857</v>
      </c>
      <c r="E11" s="309">
        <f t="shared" si="1"/>
        <v>0</v>
      </c>
      <c r="F11" s="309">
        <f t="shared" si="1"/>
        <v>29868</v>
      </c>
    </row>
    <row r="12" spans="1:6" ht="24" thickBot="1">
      <c r="B12" s="491" t="s">
        <v>702</v>
      </c>
      <c r="C12" s="492"/>
      <c r="D12" s="492"/>
      <c r="E12" s="492"/>
      <c r="F12" s="295"/>
    </row>
    <row r="13" spans="1:6" ht="15.75" thickBot="1">
      <c r="B13" s="302" t="s">
        <v>703</v>
      </c>
      <c r="C13" s="298">
        <v>3123</v>
      </c>
      <c r="D13" s="299"/>
      <c r="E13" s="299"/>
      <c r="F13" s="300">
        <f t="shared" ref="F13:F16" si="2">SUM(C13:E13)</f>
        <v>3123</v>
      </c>
    </row>
    <row r="14" spans="1:6" ht="24" thickBot="1">
      <c r="B14" s="303" t="s">
        <v>704</v>
      </c>
      <c r="C14" s="296"/>
      <c r="D14" s="296"/>
      <c r="E14" s="296"/>
      <c r="F14" s="300">
        <f t="shared" si="2"/>
        <v>0</v>
      </c>
    </row>
    <row r="15" spans="1:6" ht="15.75" thickBot="1">
      <c r="B15" s="302" t="s">
        <v>705</v>
      </c>
      <c r="C15" s="299"/>
      <c r="D15" s="298">
        <v>3908</v>
      </c>
      <c r="E15" s="299"/>
      <c r="F15" s="300">
        <f t="shared" si="2"/>
        <v>3908</v>
      </c>
    </row>
    <row r="16" spans="1:6" ht="15.75" thickBot="1">
      <c r="B16" s="302" t="s">
        <v>706</v>
      </c>
      <c r="C16" s="299"/>
      <c r="D16" s="298">
        <v>2987</v>
      </c>
      <c r="E16" s="299"/>
      <c r="F16" s="300">
        <f t="shared" si="2"/>
        <v>2987</v>
      </c>
    </row>
    <row r="17" spans="2:6" ht="16.5" thickTop="1" thickBot="1">
      <c r="B17" s="308" t="s">
        <v>138</v>
      </c>
      <c r="C17" s="309">
        <f>SUM(C13:C16)</f>
        <v>3123</v>
      </c>
      <c r="D17" s="309">
        <f t="shared" ref="D17:E17" si="3">SUM(D13:D16)</f>
        <v>6895</v>
      </c>
      <c r="E17" s="309">
        <f t="shared" si="3"/>
        <v>0</v>
      </c>
      <c r="F17" s="309">
        <f>SUM(C17:E17)</f>
        <v>10018</v>
      </c>
    </row>
    <row r="18" spans="2:6" ht="24" thickBot="1">
      <c r="B18" s="491" t="s">
        <v>707</v>
      </c>
      <c r="C18" s="492"/>
      <c r="D18" s="492"/>
      <c r="E18" s="492"/>
      <c r="F18" s="295"/>
    </row>
    <row r="19" spans="2:6" ht="15.75" thickBot="1">
      <c r="B19" s="302" t="s">
        <v>708</v>
      </c>
      <c r="C19" s="299"/>
      <c r="D19" s="299"/>
      <c r="E19" s="301">
        <v>186</v>
      </c>
      <c r="F19" s="300">
        <f t="shared" ref="F19:F24" si="4">SUM(C19:E19)</f>
        <v>186</v>
      </c>
    </row>
    <row r="20" spans="2:6" ht="15.75" thickBot="1">
      <c r="B20" s="302" t="s">
        <v>709</v>
      </c>
      <c r="C20" s="299"/>
      <c r="D20" s="299"/>
      <c r="E20" s="301">
        <v>142</v>
      </c>
      <c r="F20" s="300">
        <f t="shared" si="4"/>
        <v>142</v>
      </c>
    </row>
    <row r="21" spans="2:6" ht="15.75" thickBot="1">
      <c r="B21" s="302" t="s">
        <v>710</v>
      </c>
      <c r="C21" s="299"/>
      <c r="D21" s="299"/>
      <c r="E21" s="301">
        <v>261</v>
      </c>
      <c r="F21" s="300">
        <f t="shared" si="4"/>
        <v>261</v>
      </c>
    </row>
    <row r="22" spans="2:6" ht="15.75" thickBot="1">
      <c r="B22" s="302" t="s">
        <v>711</v>
      </c>
      <c r="C22" s="299"/>
      <c r="D22" s="299"/>
      <c r="E22" s="301">
        <v>251</v>
      </c>
      <c r="F22" s="300">
        <f t="shared" si="4"/>
        <v>251</v>
      </c>
    </row>
    <row r="23" spans="2:6" ht="15.75" thickBot="1">
      <c r="B23" s="302" t="s">
        <v>712</v>
      </c>
      <c r="C23" s="299"/>
      <c r="D23" s="299"/>
      <c r="E23" s="301">
        <v>608</v>
      </c>
      <c r="F23" s="300">
        <f t="shared" si="4"/>
        <v>608</v>
      </c>
    </row>
    <row r="24" spans="2:6" ht="15.75" thickBot="1">
      <c r="B24" s="302" t="s">
        <v>713</v>
      </c>
      <c r="C24" s="299"/>
      <c r="D24" s="299"/>
      <c r="E24" s="298">
        <v>5468</v>
      </c>
      <c r="F24" s="300">
        <f t="shared" si="4"/>
        <v>5468</v>
      </c>
    </row>
    <row r="25" spans="2:6" ht="16.5" thickTop="1" thickBot="1">
      <c r="B25" s="308" t="s">
        <v>138</v>
      </c>
      <c r="C25" s="309">
        <f>SUM(C19:C24)</f>
        <v>0</v>
      </c>
      <c r="D25" s="309">
        <f t="shared" ref="D25:F25" si="5">SUM(D19:D24)</f>
        <v>0</v>
      </c>
      <c r="E25" s="309">
        <f t="shared" si="5"/>
        <v>6916</v>
      </c>
      <c r="F25" s="309">
        <f t="shared" si="5"/>
        <v>6916</v>
      </c>
    </row>
    <row r="26" spans="2:6" ht="24" thickBot="1">
      <c r="B26" s="491" t="s">
        <v>714</v>
      </c>
      <c r="C26" s="492"/>
      <c r="D26" s="492"/>
      <c r="E26" s="492"/>
      <c r="F26" s="295"/>
    </row>
    <row r="27" spans="2:6" ht="15.75" thickBot="1">
      <c r="B27" s="302" t="s">
        <v>715</v>
      </c>
      <c r="C27" s="299"/>
      <c r="D27" s="298">
        <v>3175</v>
      </c>
      <c r="E27" s="299"/>
      <c r="F27" s="300">
        <f t="shared" ref="F27:F30" si="6">SUM(C27:E27)</f>
        <v>3175</v>
      </c>
    </row>
    <row r="28" spans="2:6" ht="24" thickBot="1">
      <c r="B28" s="303" t="s">
        <v>716</v>
      </c>
      <c r="C28" s="296"/>
      <c r="D28" s="296"/>
      <c r="E28" s="296"/>
      <c r="F28" s="300">
        <f t="shared" si="6"/>
        <v>0</v>
      </c>
    </row>
    <row r="29" spans="2:6" ht="15.75" thickBot="1">
      <c r="B29" s="302" t="s">
        <v>717</v>
      </c>
      <c r="C29" s="299"/>
      <c r="D29" s="298">
        <v>1633</v>
      </c>
      <c r="E29" s="299"/>
      <c r="F29" s="300">
        <f t="shared" si="6"/>
        <v>1633</v>
      </c>
    </row>
    <row r="30" spans="2:6" ht="15.75" thickBot="1">
      <c r="B30" s="302" t="s">
        <v>718</v>
      </c>
      <c r="C30" s="299"/>
      <c r="D30" s="299"/>
      <c r="E30" s="301">
        <v>712</v>
      </c>
      <c r="F30" s="300">
        <f t="shared" si="6"/>
        <v>712</v>
      </c>
    </row>
    <row r="31" spans="2:6" ht="16.5" thickTop="1" thickBot="1">
      <c r="B31" s="308" t="s">
        <v>138</v>
      </c>
      <c r="C31" s="309">
        <f>SUM(C27:C30)</f>
        <v>0</v>
      </c>
      <c r="D31" s="309">
        <f t="shared" ref="D31:F31" si="7">SUM(D27:D30)</f>
        <v>4808</v>
      </c>
      <c r="E31" s="309">
        <f t="shared" si="7"/>
        <v>712</v>
      </c>
      <c r="F31" s="309">
        <f t="shared" si="7"/>
        <v>5520</v>
      </c>
    </row>
    <row r="32" spans="2:6" ht="24" thickBot="1">
      <c r="B32" s="491" t="s">
        <v>719</v>
      </c>
      <c r="C32" s="492"/>
      <c r="D32" s="492"/>
      <c r="E32" s="492"/>
      <c r="F32" s="295"/>
    </row>
    <row r="33" spans="2:6" ht="15.75" thickBot="1">
      <c r="B33" s="302" t="s">
        <v>720</v>
      </c>
      <c r="C33" s="298">
        <v>1534</v>
      </c>
      <c r="D33" s="299"/>
      <c r="E33" s="299"/>
      <c r="F33" s="300">
        <f t="shared" ref="F33:F34" si="8">SUM(C33:E33)</f>
        <v>1534</v>
      </c>
    </row>
    <row r="34" spans="2:6" ht="15.75" thickBot="1">
      <c r="B34" s="302" t="s">
        <v>721</v>
      </c>
      <c r="C34" s="299"/>
      <c r="D34" s="298">
        <v>5805</v>
      </c>
      <c r="E34" s="299"/>
      <c r="F34" s="300">
        <f t="shared" si="8"/>
        <v>5805</v>
      </c>
    </row>
    <row r="35" spans="2:6" ht="16.5" thickTop="1" thickBot="1">
      <c r="B35" s="308" t="s">
        <v>138</v>
      </c>
      <c r="C35" s="309">
        <f>SUM(C33:C34)</f>
        <v>1534</v>
      </c>
      <c r="D35" s="309">
        <f t="shared" ref="D35:F35" si="9">SUM(D33:D34)</f>
        <v>5805</v>
      </c>
      <c r="E35" s="309">
        <f t="shared" si="9"/>
        <v>0</v>
      </c>
      <c r="F35" s="309">
        <f t="shared" si="9"/>
        <v>7339</v>
      </c>
    </row>
    <row r="36" spans="2:6" ht="24" thickBot="1">
      <c r="B36" s="487"/>
      <c r="C36" s="488"/>
      <c r="D36" s="488"/>
      <c r="E36" s="488"/>
      <c r="F36" s="297"/>
    </row>
    <row r="37" spans="2:6" ht="16.5" thickTop="1" thickBot="1">
      <c r="B37" s="311" t="s">
        <v>722</v>
      </c>
      <c r="C37" s="312">
        <f>SUM(C11,C17,C25,C31,C35)</f>
        <v>24668</v>
      </c>
      <c r="D37" s="312">
        <f t="shared" ref="D37:F37" si="10">SUM(D11,D17,D25,D31,D35)</f>
        <v>27365</v>
      </c>
      <c r="E37" s="312">
        <f t="shared" si="10"/>
        <v>7628</v>
      </c>
      <c r="F37" s="312">
        <f t="shared" si="10"/>
        <v>59661</v>
      </c>
    </row>
  </sheetData>
  <mergeCells count="6">
    <mergeCell ref="B36:E36"/>
    <mergeCell ref="B4:E4"/>
    <mergeCell ref="B12:E12"/>
    <mergeCell ref="B18:E18"/>
    <mergeCell ref="B26:E26"/>
    <mergeCell ref="B32:E3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3B5E-893F-4856-8F61-C2076DA25055}">
  <sheetPr codeName="Sheet16">
    <tabColor theme="7" tint="0.79998168889431442"/>
  </sheetPr>
  <dimension ref="A1:T70"/>
  <sheetViews>
    <sheetView showGridLines="0" zoomScaleNormal="100" workbookViewId="0"/>
  </sheetViews>
  <sheetFormatPr defaultRowHeight="15"/>
  <cols>
    <col min="1" max="2" width="3.85546875" customWidth="1"/>
    <col min="3" max="3" width="23.85546875" customWidth="1"/>
    <col min="4" max="6" width="16.5703125" customWidth="1"/>
    <col min="7" max="7" width="14" customWidth="1"/>
    <col min="19" max="19" width="17.140625" customWidth="1"/>
    <col min="20" max="20" width="16.5703125" customWidth="1"/>
  </cols>
  <sheetData>
    <row r="1" spans="1:20" ht="31.5">
      <c r="A1" s="70" t="s">
        <v>869</v>
      </c>
    </row>
    <row r="3" spans="1:20" ht="20.25" thickBot="1">
      <c r="A3" s="68" t="s">
        <v>521</v>
      </c>
      <c r="B3" s="68"/>
      <c r="C3" s="68"/>
      <c r="D3" s="68"/>
      <c r="E3" s="68"/>
      <c r="F3" s="68"/>
      <c r="G3" s="68"/>
      <c r="H3" s="68"/>
      <c r="I3" s="68"/>
    </row>
    <row r="4" spans="1:20" ht="15.75" thickBot="1">
      <c r="C4" s="193" t="s">
        <v>522</v>
      </c>
      <c r="D4" s="493" t="s">
        <v>550</v>
      </c>
      <c r="E4" s="493"/>
      <c r="F4" s="3"/>
      <c r="G4" s="3"/>
      <c r="H4" s="3"/>
      <c r="I4" s="3"/>
    </row>
    <row r="5" spans="1:20">
      <c r="E5" s="3"/>
      <c r="F5" s="3"/>
      <c r="G5" s="3"/>
      <c r="H5" s="3"/>
      <c r="I5" s="3"/>
    </row>
    <row r="6" spans="1:20" ht="19.5">
      <c r="A6" s="68" t="s">
        <v>60</v>
      </c>
      <c r="B6" s="68"/>
      <c r="C6" s="68"/>
      <c r="D6" s="369" t="s">
        <v>553</v>
      </c>
      <c r="E6" s="68"/>
      <c r="F6" s="68"/>
      <c r="G6" s="68"/>
      <c r="H6" s="68"/>
      <c r="I6" s="68"/>
    </row>
    <row r="7" spans="1:20" ht="41.25" customHeight="1">
      <c r="B7" s="3"/>
      <c r="C7" s="494" t="str">
        <f>D4&amp;" can realize " &amp; TEXT(F11,"$#,##0") &amp; " in benefits with an investment of only " &amp; TEXT(F10,"$#,##0") &amp; " -- that's an ROI of " &amp;TEXT(D14,"0%") &amp;"."</f>
        <v>Contoso can realize $6,419,645 in benefits with an investment of only $2,640,703 -- that's an ROI of 143%.</v>
      </c>
      <c r="D7" s="494"/>
      <c r="E7" s="494"/>
      <c r="F7" s="494"/>
      <c r="G7" s="494"/>
      <c r="H7" s="494"/>
      <c r="I7" s="494"/>
      <c r="S7" t="s">
        <v>654</v>
      </c>
    </row>
    <row r="8" spans="1:20" ht="15.75" thickBot="1">
      <c r="C8" s="49"/>
      <c r="E8" t="s">
        <v>920</v>
      </c>
    </row>
    <row r="9" spans="1:20" ht="32.25" thickBot="1">
      <c r="D9" s="52" t="s">
        <v>523</v>
      </c>
      <c r="E9" s="52" t="s">
        <v>274</v>
      </c>
      <c r="F9" s="52" t="s">
        <v>543</v>
      </c>
      <c r="T9" s="52" t="str">
        <f>F9</f>
        <v>Total (5-Year)</v>
      </c>
    </row>
    <row r="10" spans="1:20">
      <c r="C10" s="57" t="s">
        <v>524</v>
      </c>
      <c r="D10" s="197">
        <f>D24</f>
        <v>1279053.3333333333</v>
      </c>
      <c r="E10" s="197">
        <f>E24</f>
        <v>272330</v>
      </c>
      <c r="F10" s="197">
        <f>D10+5*E10</f>
        <v>2640703.333333333</v>
      </c>
      <c r="S10" s="284" t="str">
        <f>C10</f>
        <v>Total Costs</v>
      </c>
      <c r="T10" s="197">
        <f>F10</f>
        <v>2640703.333333333</v>
      </c>
    </row>
    <row r="11" spans="1:20" ht="15.75" thickBot="1">
      <c r="C11" s="57" t="s">
        <v>525</v>
      </c>
      <c r="D11" s="197">
        <f>D31</f>
        <v>0</v>
      </c>
      <c r="E11" s="197">
        <f>E31</f>
        <v>1283929.0231087115</v>
      </c>
      <c r="F11" s="197">
        <f>D11+5*E11</f>
        <v>6419645.1155435573</v>
      </c>
      <c r="S11" s="284" t="str">
        <f>C11</f>
        <v>Total Benefits</v>
      </c>
      <c r="T11" s="197">
        <f>F11</f>
        <v>6419645.1155435573</v>
      </c>
    </row>
    <row r="12" spans="1:20" ht="15.75" thickTop="1">
      <c r="C12" s="205" t="s">
        <v>526</v>
      </c>
      <c r="F12" s="187">
        <f>F11-F10</f>
        <v>3778941.7822102243</v>
      </c>
    </row>
    <row r="14" spans="1:20" ht="30">
      <c r="C14" s="57" t="s">
        <v>527</v>
      </c>
      <c r="D14" s="203">
        <f>IFERROR(F12/F10,"")</f>
        <v>1.4310360934941164</v>
      </c>
    </row>
    <row r="15" spans="1:20">
      <c r="C15" s="57" t="s">
        <v>526</v>
      </c>
      <c r="D15" s="206">
        <f>G66</f>
        <v>3778941.7822102243</v>
      </c>
    </row>
    <row r="16" spans="1:20" ht="19.5">
      <c r="B16" s="68"/>
      <c r="C16" s="57" t="s">
        <v>551</v>
      </c>
      <c r="D16" s="206">
        <f>G67</f>
        <v>2555526.1478992635</v>
      </c>
      <c r="E16" s="68"/>
      <c r="F16" s="68"/>
      <c r="G16" s="68"/>
      <c r="H16" s="68"/>
      <c r="I16" s="68"/>
    </row>
    <row r="17" spans="1:20">
      <c r="C17" s="199"/>
      <c r="D17" s="199"/>
      <c r="E17" s="199"/>
      <c r="F17" s="199"/>
      <c r="G17" s="199"/>
      <c r="H17" s="199"/>
      <c r="I17" s="199"/>
    </row>
    <row r="18" spans="1:20" ht="18" thickBot="1">
      <c r="A18" s="204" t="s">
        <v>528</v>
      </c>
      <c r="E18" t="s">
        <v>921</v>
      </c>
    </row>
    <row r="19" spans="1:20" ht="32.25" thickBot="1">
      <c r="C19" s="52" t="s">
        <v>529</v>
      </c>
      <c r="D19" s="52" t="s">
        <v>523</v>
      </c>
      <c r="E19" s="52" t="s">
        <v>274</v>
      </c>
      <c r="F19" s="52" t="str">
        <f>F9</f>
        <v>Total (5-Year)</v>
      </c>
      <c r="T19" s="52" t="str">
        <f>F19</f>
        <v>Total (5-Year)</v>
      </c>
    </row>
    <row r="20" spans="1:20" ht="15.75" thickBot="1">
      <c r="C20" s="188" t="s">
        <v>539</v>
      </c>
      <c r="D20" s="198">
        <v>1060720</v>
      </c>
      <c r="E20" s="198">
        <v>197320</v>
      </c>
      <c r="F20" s="197">
        <f>D20+5*E20</f>
        <v>2047320</v>
      </c>
      <c r="S20" s="284" t="str">
        <f t="shared" ref="S20:S23" si="0">C20</f>
        <v>Vendor Costs</v>
      </c>
      <c r="T20" s="197">
        <f t="shared" ref="T20:T23" si="1">F20</f>
        <v>2047320</v>
      </c>
    </row>
    <row r="21" spans="1:20" ht="15.75" thickBot="1">
      <c r="C21" s="188" t="s">
        <v>540</v>
      </c>
      <c r="D21" s="198">
        <v>48000</v>
      </c>
      <c r="E21" s="198">
        <v>10560</v>
      </c>
      <c r="F21" s="197">
        <f t="shared" ref="F21:F23" si="2">D21+5*E21</f>
        <v>100800</v>
      </c>
      <c r="S21" s="284" t="str">
        <f t="shared" si="0"/>
        <v>Internal Costs</v>
      </c>
      <c r="T21" s="197">
        <f t="shared" si="1"/>
        <v>100800</v>
      </c>
    </row>
    <row r="22" spans="1:20" ht="15.75" thickBot="1">
      <c r="C22" s="188" t="s">
        <v>541</v>
      </c>
      <c r="D22" s="198">
        <v>151000</v>
      </c>
      <c r="E22" s="198">
        <v>47916.666666666664</v>
      </c>
      <c r="F22" s="197">
        <f t="shared" si="2"/>
        <v>390583.33333333331</v>
      </c>
      <c r="S22" s="284" t="str">
        <f t="shared" si="0"/>
        <v>Internal Labor</v>
      </c>
      <c r="T22" s="197">
        <f t="shared" si="1"/>
        <v>390583.33333333331</v>
      </c>
    </row>
    <row r="23" spans="1:20" ht="15.75" thickBot="1">
      <c r="C23" s="188" t="s">
        <v>542</v>
      </c>
      <c r="D23" s="198">
        <v>19333.333333333332</v>
      </c>
      <c r="E23" s="198">
        <v>16533.333333333336</v>
      </c>
      <c r="F23" s="197">
        <f t="shared" si="2"/>
        <v>102000.00000000001</v>
      </c>
      <c r="S23" s="284" t="str">
        <f t="shared" si="0"/>
        <v>3rd Party Services</v>
      </c>
      <c r="T23" s="197">
        <f t="shared" si="1"/>
        <v>102000.00000000001</v>
      </c>
    </row>
    <row r="24" spans="1:20" ht="15.75" thickTop="1">
      <c r="C24" s="189" t="s">
        <v>138</v>
      </c>
      <c r="D24" s="187">
        <f>SUM(D20:D23)</f>
        <v>1279053.3333333333</v>
      </c>
      <c r="E24" s="187">
        <f>SUM(E20:E23)</f>
        <v>272330</v>
      </c>
      <c r="F24" s="187">
        <f>SUM(F20:F23)</f>
        <v>2640703.3333333335</v>
      </c>
    </row>
    <row r="26" spans="1:20" ht="18" thickBot="1">
      <c r="A26" s="207" t="s">
        <v>530</v>
      </c>
    </row>
    <row r="27" spans="1:20" ht="32.25" thickBot="1">
      <c r="C27" s="52" t="s">
        <v>531</v>
      </c>
      <c r="D27" s="52" t="s">
        <v>523</v>
      </c>
      <c r="E27" s="52" t="s">
        <v>274</v>
      </c>
      <c r="F27" s="52" t="str">
        <f>F19</f>
        <v>Total (5-Year)</v>
      </c>
      <c r="T27" s="52" t="str">
        <f>F27</f>
        <v>Total (5-Year)</v>
      </c>
    </row>
    <row r="28" spans="1:20" ht="15.75" thickBot="1">
      <c r="C28" s="57" t="s">
        <v>532</v>
      </c>
      <c r="D28" s="198">
        <v>0</v>
      </c>
      <c r="E28" s="198">
        <v>473929.02310871147</v>
      </c>
      <c r="F28" s="197">
        <f>D28+5*E28</f>
        <v>2369645.1155435573</v>
      </c>
      <c r="S28" s="284" t="str">
        <f t="shared" ref="S28:S31" si="3">C28</f>
        <v>Revenue Gains (Margin)</v>
      </c>
      <c r="T28" s="197">
        <f t="shared" ref="T28:T31" si="4">F28</f>
        <v>2369645.1155435573</v>
      </c>
    </row>
    <row r="29" spans="1:20" ht="15.75" thickBot="1">
      <c r="C29" s="57" t="s">
        <v>533</v>
      </c>
      <c r="D29" s="198">
        <v>0</v>
      </c>
      <c r="E29" s="198">
        <v>360000</v>
      </c>
      <c r="F29" s="197">
        <f t="shared" ref="F29:F30" si="5">D29+5*E29</f>
        <v>1800000</v>
      </c>
      <c r="S29" s="284" t="str">
        <f t="shared" si="3"/>
        <v>Cost Savings</v>
      </c>
      <c r="T29" s="197">
        <f t="shared" si="4"/>
        <v>1800000</v>
      </c>
    </row>
    <row r="30" spans="1:20" ht="15.75" thickBot="1">
      <c r="C30" s="57" t="s">
        <v>534</v>
      </c>
      <c r="D30" s="198">
        <v>0</v>
      </c>
      <c r="E30" s="198">
        <v>450000</v>
      </c>
      <c r="F30" s="197">
        <f t="shared" si="5"/>
        <v>2250000</v>
      </c>
      <c r="S30" s="284" t="str">
        <f t="shared" si="3"/>
        <v>Productivity Savings</v>
      </c>
      <c r="T30" s="197">
        <f t="shared" si="4"/>
        <v>2250000</v>
      </c>
    </row>
    <row r="31" spans="1:20" ht="15.75" thickTop="1">
      <c r="C31" s="189" t="s">
        <v>138</v>
      </c>
      <c r="D31" s="187">
        <f>SUM(D28:D30)</f>
        <v>0</v>
      </c>
      <c r="E31" s="187">
        <f>SUM(E28:E30)</f>
        <v>1283929.0231087115</v>
      </c>
      <c r="F31" s="187">
        <f>SUM(F28:F30)</f>
        <v>6419645.1155435573</v>
      </c>
      <c r="S31" s="284" t="str">
        <f t="shared" si="3"/>
        <v>Total</v>
      </c>
      <c r="T31" s="197">
        <f t="shared" si="4"/>
        <v>6419645.1155435573</v>
      </c>
    </row>
    <row r="33" spans="1:9" ht="19.5">
      <c r="A33" s="68" t="s">
        <v>536</v>
      </c>
      <c r="B33" s="68"/>
      <c r="C33" s="68"/>
      <c r="D33" s="68"/>
      <c r="E33" s="68"/>
      <c r="F33" s="68"/>
      <c r="G33" s="68"/>
      <c r="H33" s="68"/>
      <c r="I33" s="68"/>
    </row>
    <row r="34" spans="1:9">
      <c r="C34" s="184"/>
      <c r="D34" s="184"/>
      <c r="E34" s="184"/>
      <c r="F34" s="184"/>
      <c r="G34" s="184"/>
      <c r="H34" s="184"/>
    </row>
    <row r="58" spans="3:8" ht="15.75" thickBot="1">
      <c r="C58" s="495" t="s">
        <v>552</v>
      </c>
      <c r="D58" s="495"/>
      <c r="E58" s="495"/>
      <c r="F58" s="495"/>
    </row>
    <row r="59" spans="3:8" ht="32.25" thickBot="1">
      <c r="C59" s="52" t="s">
        <v>174</v>
      </c>
      <c r="D59" s="52" t="s">
        <v>544</v>
      </c>
      <c r="E59" s="52" t="s">
        <v>530</v>
      </c>
      <c r="F59" s="52" t="s">
        <v>545</v>
      </c>
      <c r="G59" s="52" t="s">
        <v>526</v>
      </c>
      <c r="H59" s="52" t="s">
        <v>546</v>
      </c>
    </row>
    <row r="60" spans="3:8">
      <c r="C60" s="57" t="s">
        <v>547</v>
      </c>
      <c r="D60" s="200">
        <f>-D10</f>
        <v>-1279053.3333333333</v>
      </c>
      <c r="E60" s="200">
        <f>D11</f>
        <v>0</v>
      </c>
      <c r="F60" s="200">
        <f>G60</f>
        <v>-1279053.3333333333</v>
      </c>
      <c r="G60" s="200">
        <f>E60+D60</f>
        <v>-1279053.3333333333</v>
      </c>
      <c r="H60" s="59"/>
    </row>
    <row r="61" spans="3:8">
      <c r="C61" s="57" t="s">
        <v>457</v>
      </c>
      <c r="D61" s="200">
        <f>-E10</f>
        <v>-272330</v>
      </c>
      <c r="E61" s="200">
        <f>E11</f>
        <v>1283929.0231087115</v>
      </c>
      <c r="F61" s="200">
        <f>F60+G61</f>
        <v>-267454.31022462179</v>
      </c>
      <c r="G61" s="200">
        <f t="shared" ref="G61:G65" si="6">E61+D61</f>
        <v>1011599.0231087115</v>
      </c>
      <c r="H61" s="201">
        <f>IF(AND(F60&lt;=0,F61&gt;0),12*-F60/(F61-F60),0)</f>
        <v>0</v>
      </c>
    </row>
    <row r="62" spans="3:8">
      <c r="C62" s="57" t="s">
        <v>458</v>
      </c>
      <c r="D62" s="200">
        <f>D61</f>
        <v>-272330</v>
      </c>
      <c r="E62" s="200">
        <f>E61</f>
        <v>1283929.0231087115</v>
      </c>
      <c r="F62" s="200">
        <f t="shared" ref="F62:F65" si="7">F61+G62</f>
        <v>744144.71288408968</v>
      </c>
      <c r="G62" s="200">
        <f t="shared" si="6"/>
        <v>1011599.0231087115</v>
      </c>
      <c r="H62" s="201">
        <f>IF(AND(F61&lt;=0,F62&gt;0),12*-F61/(F62-F61),0)</f>
        <v>3.1726520581569972</v>
      </c>
    </row>
    <row r="63" spans="3:8">
      <c r="C63" s="57" t="s">
        <v>459</v>
      </c>
      <c r="D63" s="200">
        <f t="shared" ref="D63:D65" si="8">D62</f>
        <v>-272330</v>
      </c>
      <c r="E63" s="200">
        <f t="shared" ref="E63:E65" si="9">E62</f>
        <v>1283929.0231087115</v>
      </c>
      <c r="F63" s="200">
        <f t="shared" si="7"/>
        <v>1755743.7359928011</v>
      </c>
      <c r="G63" s="200">
        <f t="shared" si="6"/>
        <v>1011599.0231087115</v>
      </c>
      <c r="H63" s="201">
        <f>IF(AND(F62&lt;=0,F63&gt;0),12*-F62/(F63-F62),0)</f>
        <v>0</v>
      </c>
    </row>
    <row r="64" spans="3:8">
      <c r="C64" s="57" t="s">
        <v>652</v>
      </c>
      <c r="D64" s="200">
        <f t="shared" si="8"/>
        <v>-272330</v>
      </c>
      <c r="E64" s="200">
        <f t="shared" si="9"/>
        <v>1283929.0231087115</v>
      </c>
      <c r="F64" s="200">
        <f t="shared" si="7"/>
        <v>2767342.7591015128</v>
      </c>
      <c r="G64" s="200">
        <f t="shared" si="6"/>
        <v>1011599.0231087115</v>
      </c>
      <c r="H64" s="201">
        <f>IF(AND(F63&lt;=0,F64&gt;0),12*-F63/(F64-F63),0)</f>
        <v>0</v>
      </c>
    </row>
    <row r="65" spans="3:8" ht="15.75" thickBot="1">
      <c r="C65" s="57" t="s">
        <v>653</v>
      </c>
      <c r="D65" s="200">
        <f t="shared" si="8"/>
        <v>-272330</v>
      </c>
      <c r="E65" s="200">
        <f t="shared" si="9"/>
        <v>1283929.0231087115</v>
      </c>
      <c r="F65" s="200">
        <f t="shared" si="7"/>
        <v>3778941.7822102243</v>
      </c>
      <c r="G65" s="200">
        <f t="shared" si="6"/>
        <v>1011599.0231087115</v>
      </c>
      <c r="H65" s="201">
        <f>IF(AND(F64&lt;=0,F65&gt;0),12*-F64/(F65-F64),0)</f>
        <v>0</v>
      </c>
    </row>
    <row r="66" spans="3:8" ht="16.5" thickTop="1" thickBot="1">
      <c r="C66" s="189" t="s">
        <v>138</v>
      </c>
      <c r="D66" s="194">
        <f>SUM(D60:D65)</f>
        <v>-2640703.333333333</v>
      </c>
      <c r="E66" s="194">
        <f t="shared" ref="E66:G66" si="10">SUM(E60:E65)</f>
        <v>6419645.1155435573</v>
      </c>
      <c r="F66" s="194">
        <f t="shared" si="10"/>
        <v>7499665.3466306729</v>
      </c>
      <c r="G66" s="194">
        <f t="shared" si="10"/>
        <v>3778941.7822102243</v>
      </c>
      <c r="H66" s="195">
        <f>MAX(H60:H65)</f>
        <v>3.1726520581569972</v>
      </c>
    </row>
    <row r="67" spans="3:8" ht="15.75" thickTop="1">
      <c r="C67" s="189" t="s">
        <v>548</v>
      </c>
      <c r="D67" s="194">
        <f>NPV($D$69,D60:D65)</f>
        <v>-2191100.0534544522</v>
      </c>
      <c r="E67" s="194">
        <f>NPV($D$69,E60:E65)</f>
        <v>4746626.2013537148</v>
      </c>
      <c r="G67" s="194">
        <f>NPV($D$69,G60:G65)</f>
        <v>2555526.1478992635</v>
      </c>
      <c r="H67" t="s">
        <v>549</v>
      </c>
    </row>
    <row r="68" spans="3:8" ht="15.75" thickBot="1">
      <c r="G68" s="196"/>
    </row>
    <row r="69" spans="3:8" ht="30.75" thickBot="1">
      <c r="C69" s="190" t="s">
        <v>537</v>
      </c>
      <c r="D69" s="202">
        <f>0.08</f>
        <v>0.08</v>
      </c>
      <c r="E69" s="192" t="s">
        <v>538</v>
      </c>
    </row>
    <row r="70" spans="3:8" ht="15.75" thickBot="1">
      <c r="C70" s="57" t="s">
        <v>535</v>
      </c>
      <c r="D70" s="191">
        <f>IF(OR(D66&gt;=0,F66&lt;=0),"NA",H66)</f>
        <v>3.1726520581569972</v>
      </c>
    </row>
  </sheetData>
  <mergeCells count="3">
    <mergeCell ref="D4:E4"/>
    <mergeCell ref="C7:I7"/>
    <mergeCell ref="C58:F58"/>
  </mergeCells>
  <conditionalFormatting sqref="D4">
    <cfRule type="expression" dxfId="1" priority="6">
      <formula>_xlfn.ISFORMULA($D$6)</formula>
    </cfRule>
  </conditionalFormatting>
  <conditionalFormatting sqref="D69">
    <cfRule type="expression" dxfId="0" priority="5">
      <formula>_xlfn.ISFORMULA($D$36)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3495-9CFB-4C92-9FFF-10274D2416D5}">
  <sheetPr codeName="Sheet11">
    <tabColor theme="7" tint="0.79998168889431442"/>
  </sheetPr>
  <dimension ref="A1:N59"/>
  <sheetViews>
    <sheetView showGridLines="0" workbookViewId="0"/>
  </sheetViews>
  <sheetFormatPr defaultRowHeight="15"/>
  <cols>
    <col min="1" max="1" width="4.28515625" customWidth="1"/>
    <col min="2" max="2" width="27.28515625" customWidth="1"/>
    <col min="3" max="10" width="12.42578125" customWidth="1"/>
    <col min="11" max="14" width="12.42578125" hidden="1" customWidth="1"/>
  </cols>
  <sheetData>
    <row r="1" spans="1:14" ht="31.5">
      <c r="A1" s="70" t="s">
        <v>760</v>
      </c>
    </row>
    <row r="2" spans="1:14" ht="30.75" customHeight="1">
      <c r="B2" s="460" t="s">
        <v>932</v>
      </c>
      <c r="C2" s="460"/>
      <c r="D2" s="460"/>
      <c r="E2" s="460"/>
      <c r="F2" s="460"/>
      <c r="G2" s="460"/>
      <c r="H2" s="460"/>
      <c r="I2" s="460"/>
      <c r="J2" s="460"/>
    </row>
    <row r="3" spans="1:14">
      <c r="E3" t="s">
        <v>928</v>
      </c>
      <c r="G3" s="367" t="b">
        <v>0</v>
      </c>
      <c r="I3" t="s">
        <v>925</v>
      </c>
    </row>
    <row r="4" spans="1:14">
      <c r="E4" s="285" t="str">
        <f>IF(AND(E8="",$G$3=FALSE),"Hide","Show")</f>
        <v>Show</v>
      </c>
      <c r="F4" s="285" t="str">
        <f>IF(AND(E8="",$G$3=FALSE),"Hide","Show")</f>
        <v>Show</v>
      </c>
      <c r="G4" s="285" t="str">
        <f>IF(AND(G8="",$G$3=FALSE),"Hide","Show")</f>
        <v>Show</v>
      </c>
      <c r="H4" s="285" t="str">
        <f>IF(AND(G8="",$G$3=FALSE),"Hide","Show")</f>
        <v>Show</v>
      </c>
      <c r="I4" s="285" t="str">
        <f t="shared" ref="I4" si="0">IF(AND(I8="",$G$3=FALSE),"Hide","Show")</f>
        <v>Show</v>
      </c>
      <c r="J4" s="285" t="str">
        <f>IF(AND(I8="",$G$3=FALSE),"Hide","Show")</f>
        <v>Show</v>
      </c>
      <c r="K4" s="285" t="str">
        <f>IF(AND(K8="",$G$3=FALSE),"Hide","Show")</f>
        <v>Hide</v>
      </c>
      <c r="L4" s="285" t="str">
        <f>IF(AND(K8="",$G$3=FALSE),"Hide","Show")</f>
        <v>Hide</v>
      </c>
      <c r="M4" s="285" t="str">
        <f>IF(AND(M8="",$G$3=FALSE),"Hide","Show")</f>
        <v>Hide</v>
      </c>
      <c r="N4" s="285" t="str">
        <f>IF(AND(M8="",$G$3=FALSE),"Hide","Show")</f>
        <v>Hide</v>
      </c>
    </row>
    <row r="5" spans="1:14" ht="19.5">
      <c r="A5" s="68" t="s">
        <v>761</v>
      </c>
    </row>
    <row r="6" spans="1:14">
      <c r="G6" t="s">
        <v>922</v>
      </c>
    </row>
    <row r="7" spans="1:14" ht="15.75">
      <c r="B7" s="319" t="s">
        <v>765</v>
      </c>
      <c r="C7" s="571" t="s">
        <v>762</v>
      </c>
      <c r="D7" s="572"/>
      <c r="E7" s="571" t="s">
        <v>741</v>
      </c>
      <c r="F7" s="572"/>
      <c r="G7" s="573" t="s">
        <v>742</v>
      </c>
      <c r="H7" s="573"/>
      <c r="I7" s="571" t="s">
        <v>743</v>
      </c>
      <c r="J7" s="572"/>
      <c r="K7" s="571" t="s">
        <v>923</v>
      </c>
      <c r="L7" s="572"/>
      <c r="M7" s="571" t="s">
        <v>924</v>
      </c>
      <c r="N7" s="572"/>
    </row>
    <row r="8" spans="1:14" ht="15" customHeight="1">
      <c r="B8" s="320" t="s">
        <v>744</v>
      </c>
      <c r="C8" s="574" t="s">
        <v>763</v>
      </c>
      <c r="D8" s="575"/>
      <c r="E8" s="574" t="s">
        <v>787</v>
      </c>
      <c r="F8" s="575"/>
      <c r="G8" s="574" t="s">
        <v>788</v>
      </c>
      <c r="H8" s="575"/>
      <c r="I8" s="574" t="s">
        <v>789</v>
      </c>
      <c r="J8" s="575"/>
      <c r="K8" s="574"/>
      <c r="L8" s="575"/>
      <c r="M8" s="574"/>
      <c r="N8" s="575"/>
    </row>
    <row r="9" spans="1:14">
      <c r="B9" s="321" t="s">
        <v>745</v>
      </c>
      <c r="C9" s="564" t="s">
        <v>764</v>
      </c>
      <c r="D9" s="565"/>
      <c r="E9" s="564" t="s">
        <v>764</v>
      </c>
      <c r="F9" s="565"/>
      <c r="G9" s="564" t="s">
        <v>764</v>
      </c>
      <c r="H9" s="565"/>
      <c r="I9" s="564" t="s">
        <v>764</v>
      </c>
      <c r="J9" s="565"/>
      <c r="K9" s="564"/>
      <c r="L9" s="565"/>
      <c r="M9" s="564"/>
      <c r="N9" s="565"/>
    </row>
    <row r="10" spans="1:14">
      <c r="B10" s="321" t="s">
        <v>746</v>
      </c>
      <c r="C10" s="564" t="s">
        <v>766</v>
      </c>
      <c r="D10" s="565"/>
      <c r="E10" s="564" t="s">
        <v>766</v>
      </c>
      <c r="F10" s="565"/>
      <c r="G10" s="564" t="s">
        <v>766</v>
      </c>
      <c r="H10" s="565"/>
      <c r="I10" s="564" t="s">
        <v>766</v>
      </c>
      <c r="J10" s="565"/>
      <c r="K10" s="564"/>
      <c r="L10" s="565"/>
      <c r="M10" s="564"/>
      <c r="N10" s="565"/>
    </row>
    <row r="11" spans="1:14">
      <c r="B11" s="321" t="s">
        <v>267</v>
      </c>
      <c r="C11" s="566">
        <v>45658</v>
      </c>
      <c r="D11" s="567"/>
      <c r="E11" s="568">
        <v>45301</v>
      </c>
      <c r="F11" s="569"/>
      <c r="G11" s="570">
        <v>45298</v>
      </c>
      <c r="H11" s="570"/>
      <c r="I11" s="568">
        <v>45474</v>
      </c>
      <c r="J11" s="569"/>
      <c r="K11" s="568"/>
      <c r="L11" s="569"/>
      <c r="M11" s="568"/>
      <c r="N11" s="569"/>
    </row>
    <row r="12" spans="1:14">
      <c r="B12" s="321" t="s">
        <v>747</v>
      </c>
      <c r="C12" s="549" t="s">
        <v>767</v>
      </c>
      <c r="D12" s="550"/>
      <c r="E12" s="551">
        <v>2900000</v>
      </c>
      <c r="F12" s="552"/>
      <c r="G12" s="553">
        <v>1700000</v>
      </c>
      <c r="H12" s="553"/>
      <c r="I12" s="551">
        <v>30000000</v>
      </c>
      <c r="J12" s="552"/>
      <c r="K12" s="551"/>
      <c r="L12" s="552"/>
      <c r="M12" s="551"/>
      <c r="N12" s="552"/>
    </row>
    <row r="13" spans="1:14">
      <c r="B13" s="322" t="s">
        <v>757</v>
      </c>
      <c r="C13" s="554">
        <v>5.0999999999999996</v>
      </c>
      <c r="D13" s="555"/>
      <c r="E13" s="556">
        <v>6.2</v>
      </c>
      <c r="F13" s="557"/>
      <c r="G13" s="558">
        <v>7.4</v>
      </c>
      <c r="H13" s="558"/>
      <c r="I13" s="556">
        <v>5.6</v>
      </c>
      <c r="J13" s="557"/>
      <c r="K13" s="556"/>
      <c r="L13" s="557"/>
      <c r="M13" s="556"/>
      <c r="N13" s="557"/>
    </row>
    <row r="14" spans="1:14">
      <c r="B14" s="322" t="s">
        <v>273</v>
      </c>
      <c r="C14" s="559">
        <v>152</v>
      </c>
      <c r="D14" s="560"/>
      <c r="E14" s="561">
        <v>72</v>
      </c>
      <c r="F14" s="562"/>
      <c r="G14" s="563">
        <v>70</v>
      </c>
      <c r="H14" s="563"/>
      <c r="I14" s="561">
        <v>204</v>
      </c>
      <c r="J14" s="562"/>
      <c r="K14" s="561"/>
      <c r="L14" s="562"/>
      <c r="M14" s="561"/>
      <c r="N14" s="562"/>
    </row>
    <row r="15" spans="1:14">
      <c r="B15" s="323" t="s">
        <v>768</v>
      </c>
      <c r="C15" s="542" t="s">
        <v>767</v>
      </c>
      <c r="D15" s="543"/>
      <c r="E15" s="544">
        <v>40277.777777777781</v>
      </c>
      <c r="F15" s="545"/>
      <c r="G15" s="546">
        <v>24285.714285714286</v>
      </c>
      <c r="H15" s="546"/>
      <c r="I15" s="544">
        <v>147058.82352941178</v>
      </c>
      <c r="J15" s="545"/>
      <c r="K15" s="544"/>
      <c r="L15" s="545"/>
      <c r="M15" s="544"/>
      <c r="N15" s="545"/>
    </row>
    <row r="16" spans="1:14" ht="15" customHeight="1">
      <c r="B16" s="527" t="s">
        <v>769</v>
      </c>
      <c r="C16" s="528"/>
      <c r="D16" s="528"/>
      <c r="E16" s="529"/>
      <c r="F16" s="529"/>
      <c r="G16" s="529"/>
      <c r="H16" s="529"/>
      <c r="I16" s="529"/>
      <c r="J16" s="530"/>
      <c r="K16" s="576"/>
      <c r="L16" s="577"/>
      <c r="M16" s="576"/>
      <c r="N16" s="577"/>
    </row>
    <row r="17" spans="2:14">
      <c r="B17" s="403" t="s">
        <v>749</v>
      </c>
      <c r="C17" s="547" t="s">
        <v>770</v>
      </c>
      <c r="D17" s="548"/>
      <c r="E17" s="404" t="s">
        <v>770</v>
      </c>
      <c r="F17" s="405">
        <v>7.0000000000000007E-2</v>
      </c>
      <c r="G17" s="406" t="s">
        <v>770</v>
      </c>
      <c r="H17" s="407">
        <v>0.06</v>
      </c>
      <c r="I17" s="404" t="s">
        <v>770</v>
      </c>
      <c r="J17" s="405">
        <v>0.05</v>
      </c>
      <c r="K17" s="399"/>
      <c r="L17" s="400"/>
      <c r="M17" s="399"/>
      <c r="N17" s="400"/>
    </row>
    <row r="18" spans="2:14">
      <c r="B18" s="408" t="s">
        <v>750</v>
      </c>
      <c r="C18" s="534" t="s">
        <v>751</v>
      </c>
      <c r="D18" s="535"/>
      <c r="E18" s="404" t="s">
        <v>753</v>
      </c>
      <c r="F18" s="405">
        <v>0.21</v>
      </c>
      <c r="G18" s="406" t="s">
        <v>753</v>
      </c>
      <c r="H18" s="407">
        <v>0.02</v>
      </c>
      <c r="I18" s="404" t="s">
        <v>751</v>
      </c>
      <c r="J18" s="405">
        <v>0.03</v>
      </c>
      <c r="K18" s="399"/>
      <c r="L18" s="400"/>
      <c r="M18" s="399"/>
      <c r="N18" s="400"/>
    </row>
    <row r="19" spans="2:14">
      <c r="B19" s="408" t="s">
        <v>752</v>
      </c>
      <c r="C19" s="536" t="s">
        <v>771</v>
      </c>
      <c r="D19" s="537"/>
      <c r="E19" s="409" t="s">
        <v>771</v>
      </c>
      <c r="F19" s="410">
        <v>0.08</v>
      </c>
      <c r="G19" s="411" t="s">
        <v>771</v>
      </c>
      <c r="H19" s="412">
        <v>0.08</v>
      </c>
      <c r="I19" s="409" t="s">
        <v>771</v>
      </c>
      <c r="J19" s="410">
        <v>0</v>
      </c>
      <c r="K19" s="401"/>
      <c r="L19" s="402"/>
      <c r="M19" s="401"/>
      <c r="N19" s="402"/>
    </row>
    <row r="20" spans="2:14">
      <c r="B20" s="413" t="s">
        <v>772</v>
      </c>
      <c r="C20" s="414"/>
      <c r="D20" s="415"/>
      <c r="E20" s="520">
        <v>56319.450000000004</v>
      </c>
      <c r="F20" s="521"/>
      <c r="G20" s="520">
        <v>28358.331428571437</v>
      </c>
      <c r="H20" s="521"/>
      <c r="I20" s="520">
        <v>159044.11764705885</v>
      </c>
      <c r="J20" s="521"/>
      <c r="K20" s="578"/>
      <c r="L20" s="579"/>
      <c r="M20" s="578"/>
      <c r="N20" s="579"/>
    </row>
    <row r="21" spans="2:14">
      <c r="B21" s="416" t="s">
        <v>773</v>
      </c>
      <c r="C21" s="417">
        <v>45658</v>
      </c>
      <c r="D21" s="418">
        <v>0.21</v>
      </c>
      <c r="E21" s="538">
        <v>0.20495518951186453</v>
      </c>
      <c r="F21" s="539"/>
      <c r="G21" s="538">
        <v>0.20684452390076394</v>
      </c>
      <c r="H21" s="539"/>
      <c r="I21" s="538">
        <v>0.10086204608195638</v>
      </c>
      <c r="J21" s="539"/>
      <c r="K21" s="580"/>
      <c r="L21" s="581"/>
      <c r="M21" s="580"/>
      <c r="N21" s="581"/>
    </row>
    <row r="22" spans="2:14">
      <c r="B22" s="419" t="s">
        <v>774</v>
      </c>
      <c r="C22" s="420"/>
      <c r="D22" s="421"/>
      <c r="E22" s="540">
        <v>67862.413547953984</v>
      </c>
      <c r="F22" s="541"/>
      <c r="G22" s="540">
        <v>34224.096991534367</v>
      </c>
      <c r="H22" s="541"/>
      <c r="I22" s="540">
        <v>175085.6327702406</v>
      </c>
      <c r="J22" s="541"/>
      <c r="K22" s="582"/>
      <c r="L22" s="583"/>
      <c r="M22" s="582"/>
      <c r="N22" s="583"/>
    </row>
    <row r="23" spans="2:14">
      <c r="B23" s="527" t="s">
        <v>775</v>
      </c>
      <c r="C23" s="528"/>
      <c r="D23" s="528"/>
      <c r="E23" s="529"/>
      <c r="F23" s="529"/>
      <c r="G23" s="529"/>
      <c r="H23" s="529"/>
      <c r="I23" s="529"/>
      <c r="J23" s="530"/>
      <c r="K23" s="576"/>
      <c r="L23" s="577"/>
      <c r="M23" s="576"/>
      <c r="N23" s="577"/>
    </row>
    <row r="24" spans="2:14">
      <c r="B24" s="422" t="s">
        <v>754</v>
      </c>
      <c r="C24" s="513"/>
      <c r="D24" s="514"/>
      <c r="E24" s="531" t="s">
        <v>790</v>
      </c>
      <c r="F24" s="532"/>
      <c r="G24" s="533" t="s">
        <v>790</v>
      </c>
      <c r="H24" s="533"/>
      <c r="I24" s="531" t="s">
        <v>790</v>
      </c>
      <c r="J24" s="532"/>
      <c r="K24" s="584"/>
      <c r="L24" s="585"/>
      <c r="M24" s="584"/>
      <c r="N24" s="585"/>
    </row>
    <row r="25" spans="2:14">
      <c r="B25" s="425" t="s">
        <v>755</v>
      </c>
      <c r="C25" s="518"/>
      <c r="D25" s="519"/>
      <c r="E25" s="515">
        <v>0.05</v>
      </c>
      <c r="F25" s="516"/>
      <c r="G25" s="517">
        <v>7.0000000000000007E-2</v>
      </c>
      <c r="H25" s="517"/>
      <c r="I25" s="515">
        <v>0.19</v>
      </c>
      <c r="J25" s="516"/>
      <c r="K25" s="586"/>
      <c r="L25" s="587"/>
      <c r="M25" s="586"/>
      <c r="N25" s="587"/>
    </row>
    <row r="26" spans="2:14">
      <c r="B26" s="428" t="s">
        <v>756</v>
      </c>
      <c r="C26" s="426"/>
      <c r="D26" s="427"/>
      <c r="E26" s="520">
        <v>3393.1206773976992</v>
      </c>
      <c r="F26" s="521"/>
      <c r="G26" s="522">
        <v>2395.6867894074057</v>
      </c>
      <c r="H26" s="522"/>
      <c r="I26" s="520">
        <v>33266.27022634571</v>
      </c>
      <c r="J26" s="521"/>
      <c r="K26" s="578"/>
      <c r="L26" s="579"/>
      <c r="M26" s="578"/>
      <c r="N26" s="579"/>
    </row>
    <row r="27" spans="2:14">
      <c r="B27" s="429"/>
      <c r="C27" s="518"/>
      <c r="D27" s="519"/>
      <c r="E27" s="518"/>
      <c r="F27" s="519"/>
      <c r="G27" s="523"/>
      <c r="H27" s="523"/>
      <c r="I27" s="518"/>
      <c r="J27" s="519"/>
      <c r="K27" s="588"/>
      <c r="L27" s="589"/>
      <c r="M27" s="588"/>
      <c r="N27" s="589"/>
    </row>
    <row r="28" spans="2:14">
      <c r="B28" s="430" t="s">
        <v>776</v>
      </c>
      <c r="C28" s="524">
        <v>30.6</v>
      </c>
      <c r="D28" s="525"/>
      <c r="E28" s="524">
        <v>11.612903225806452</v>
      </c>
      <c r="F28" s="525"/>
      <c r="G28" s="526">
        <v>9.4594594594594597</v>
      </c>
      <c r="H28" s="526"/>
      <c r="I28" s="524">
        <v>36.428571428571431</v>
      </c>
      <c r="J28" s="525"/>
      <c r="K28" s="590"/>
      <c r="L28" s="591"/>
      <c r="M28" s="590"/>
      <c r="N28" s="591"/>
    </row>
    <row r="29" spans="2:14">
      <c r="B29" s="428" t="s">
        <v>755</v>
      </c>
      <c r="C29" s="513"/>
      <c r="D29" s="514"/>
      <c r="E29" s="515">
        <v>0.02</v>
      </c>
      <c r="F29" s="516"/>
      <c r="G29" s="517">
        <v>0.12</v>
      </c>
      <c r="H29" s="517"/>
      <c r="I29" s="515">
        <v>0.31</v>
      </c>
      <c r="J29" s="516"/>
      <c r="K29" s="586"/>
      <c r="L29" s="587"/>
      <c r="M29" s="586"/>
      <c r="N29" s="587"/>
    </row>
    <row r="30" spans="2:14">
      <c r="B30" s="428" t="s">
        <v>756</v>
      </c>
      <c r="C30" s="518"/>
      <c r="D30" s="519"/>
      <c r="E30" s="520">
        <v>1357.2482709590797</v>
      </c>
      <c r="F30" s="521"/>
      <c r="G30" s="522">
        <v>4106.8916389841243</v>
      </c>
      <c r="H30" s="522"/>
      <c r="I30" s="520">
        <v>54276.546158774589</v>
      </c>
      <c r="J30" s="521"/>
      <c r="K30" s="578"/>
      <c r="L30" s="579"/>
      <c r="M30" s="578"/>
      <c r="N30" s="579"/>
    </row>
    <row r="31" spans="2:14">
      <c r="B31" s="429"/>
      <c r="C31" s="423"/>
      <c r="D31" s="424"/>
      <c r="E31" s="518"/>
      <c r="F31" s="519"/>
      <c r="G31" s="523"/>
      <c r="H31" s="523"/>
      <c r="I31" s="518"/>
      <c r="J31" s="519"/>
      <c r="K31" s="588"/>
      <c r="L31" s="589"/>
      <c r="M31" s="588"/>
      <c r="N31" s="589"/>
    </row>
    <row r="32" spans="2:14">
      <c r="B32" s="430" t="s">
        <v>777</v>
      </c>
      <c r="C32" s="510" t="s">
        <v>778</v>
      </c>
      <c r="D32" s="511"/>
      <c r="E32" s="510" t="s">
        <v>778</v>
      </c>
      <c r="F32" s="511"/>
      <c r="G32" s="512" t="s">
        <v>778</v>
      </c>
      <c r="H32" s="512"/>
      <c r="I32" s="510" t="s">
        <v>778</v>
      </c>
      <c r="J32" s="511"/>
      <c r="K32" s="594"/>
      <c r="L32" s="595"/>
      <c r="M32" s="594"/>
      <c r="N32" s="595"/>
    </row>
    <row r="33" spans="2:14">
      <c r="B33" s="428" t="s">
        <v>755</v>
      </c>
      <c r="C33" s="513"/>
      <c r="D33" s="514"/>
      <c r="E33" s="515">
        <v>7.0000000000000007E-2</v>
      </c>
      <c r="F33" s="516"/>
      <c r="G33" s="517">
        <v>0.06</v>
      </c>
      <c r="H33" s="517"/>
      <c r="I33" s="515">
        <v>0.04</v>
      </c>
      <c r="J33" s="516"/>
      <c r="K33" s="586"/>
      <c r="L33" s="587"/>
      <c r="M33" s="586"/>
      <c r="N33" s="587"/>
    </row>
    <row r="34" spans="2:14">
      <c r="B34" s="428" t="s">
        <v>756</v>
      </c>
      <c r="C34" s="518"/>
      <c r="D34" s="519"/>
      <c r="E34" s="520">
        <v>4750.3689483567796</v>
      </c>
      <c r="F34" s="521"/>
      <c r="G34" s="522">
        <v>2053.4458194920621</v>
      </c>
      <c r="H34" s="522"/>
      <c r="I34" s="520">
        <v>7003.4253108096236</v>
      </c>
      <c r="J34" s="521"/>
      <c r="K34" s="578"/>
      <c r="L34" s="579"/>
      <c r="M34" s="578"/>
      <c r="N34" s="579"/>
    </row>
    <row r="35" spans="2:14">
      <c r="B35" s="429"/>
      <c r="C35" s="431"/>
      <c r="D35" s="432"/>
      <c r="E35" s="518"/>
      <c r="F35" s="519"/>
      <c r="G35" s="523"/>
      <c r="H35" s="523"/>
      <c r="I35" s="518"/>
      <c r="J35" s="519"/>
      <c r="K35" s="588"/>
      <c r="L35" s="589"/>
      <c r="M35" s="588"/>
      <c r="N35" s="589"/>
    </row>
    <row r="36" spans="2:14">
      <c r="B36" s="430" t="s">
        <v>779</v>
      </c>
      <c r="C36" s="510" t="s">
        <v>780</v>
      </c>
      <c r="D36" s="511"/>
      <c r="E36" s="510" t="s">
        <v>780</v>
      </c>
      <c r="F36" s="511"/>
      <c r="G36" s="512" t="s">
        <v>780</v>
      </c>
      <c r="H36" s="512"/>
      <c r="I36" s="510" t="s">
        <v>780</v>
      </c>
      <c r="J36" s="511"/>
      <c r="K36" s="594"/>
      <c r="L36" s="595"/>
      <c r="M36" s="594"/>
      <c r="N36" s="595"/>
    </row>
    <row r="37" spans="2:14">
      <c r="B37" s="428" t="s">
        <v>755</v>
      </c>
      <c r="C37" s="513"/>
      <c r="D37" s="514"/>
      <c r="E37" s="515">
        <v>0.04</v>
      </c>
      <c r="F37" s="516"/>
      <c r="G37" s="517">
        <v>0.03</v>
      </c>
      <c r="H37" s="517"/>
      <c r="I37" s="515">
        <v>0.09</v>
      </c>
      <c r="J37" s="516"/>
      <c r="K37" s="586"/>
      <c r="L37" s="587"/>
      <c r="M37" s="586"/>
      <c r="N37" s="587"/>
    </row>
    <row r="38" spans="2:14">
      <c r="B38" s="428" t="s">
        <v>756</v>
      </c>
      <c r="C38" s="518"/>
      <c r="D38" s="519"/>
      <c r="E38" s="520">
        <v>2714.4965419181594</v>
      </c>
      <c r="F38" s="521"/>
      <c r="G38" s="522">
        <v>1026.7229097460311</v>
      </c>
      <c r="H38" s="522"/>
      <c r="I38" s="520">
        <v>15757.706949321653</v>
      </c>
      <c r="J38" s="521"/>
      <c r="K38" s="578"/>
      <c r="L38" s="579"/>
      <c r="M38" s="578"/>
      <c r="N38" s="579"/>
    </row>
    <row r="39" spans="2:14">
      <c r="B39" s="429"/>
      <c r="C39" s="431"/>
      <c r="D39" s="432"/>
      <c r="E39" s="518"/>
      <c r="F39" s="519"/>
      <c r="G39" s="523"/>
      <c r="H39" s="523"/>
      <c r="I39" s="518"/>
      <c r="J39" s="519"/>
      <c r="K39" s="588"/>
      <c r="L39" s="589"/>
      <c r="M39" s="588"/>
      <c r="N39" s="589"/>
    </row>
    <row r="40" spans="2:14">
      <c r="B40" s="430" t="s">
        <v>446</v>
      </c>
      <c r="C40" s="510" t="s">
        <v>781</v>
      </c>
      <c r="D40" s="511"/>
      <c r="E40" s="510" t="s">
        <v>781</v>
      </c>
      <c r="F40" s="511"/>
      <c r="G40" s="512" t="s">
        <v>781</v>
      </c>
      <c r="H40" s="512"/>
      <c r="I40" s="510" t="s">
        <v>21</v>
      </c>
      <c r="J40" s="511"/>
      <c r="K40" s="594"/>
      <c r="L40" s="595"/>
      <c r="M40" s="594"/>
      <c r="N40" s="595"/>
    </row>
    <row r="41" spans="2:14">
      <c r="B41" s="428" t="s">
        <v>755</v>
      </c>
      <c r="C41" s="513"/>
      <c r="D41" s="514"/>
      <c r="E41" s="515">
        <v>0.05</v>
      </c>
      <c r="F41" s="516"/>
      <c r="G41" s="517">
        <v>0.09</v>
      </c>
      <c r="H41" s="517"/>
      <c r="I41" s="515">
        <v>0.04</v>
      </c>
      <c r="J41" s="516"/>
      <c r="K41" s="586"/>
      <c r="L41" s="587"/>
      <c r="M41" s="586"/>
      <c r="N41" s="587"/>
    </row>
    <row r="42" spans="2:14">
      <c r="B42" s="428" t="s">
        <v>756</v>
      </c>
      <c r="C42" s="518"/>
      <c r="D42" s="519"/>
      <c r="E42" s="520">
        <v>3393.1206773976992</v>
      </c>
      <c r="F42" s="521"/>
      <c r="G42" s="522">
        <v>3080.168729238093</v>
      </c>
      <c r="H42" s="521"/>
      <c r="I42" s="520">
        <v>7003.4253108096236</v>
      </c>
      <c r="J42" s="521"/>
      <c r="K42" s="578"/>
      <c r="L42" s="579"/>
      <c r="M42" s="578"/>
      <c r="N42" s="579"/>
    </row>
    <row r="43" spans="2:14">
      <c r="B43" s="429"/>
      <c r="C43" s="431"/>
      <c r="D43" s="432"/>
      <c r="E43" s="518"/>
      <c r="F43" s="519"/>
      <c r="G43" s="523"/>
      <c r="H43" s="523"/>
      <c r="I43" s="518"/>
      <c r="J43" s="519"/>
      <c r="K43" s="588"/>
      <c r="L43" s="589"/>
      <c r="M43" s="588"/>
      <c r="N43" s="589"/>
    </row>
    <row r="44" spans="2:14" ht="15" customHeight="1">
      <c r="B44" s="430" t="s">
        <v>782</v>
      </c>
      <c r="C44" s="510" t="s">
        <v>783</v>
      </c>
      <c r="D44" s="511"/>
      <c r="E44" s="510" t="s">
        <v>784</v>
      </c>
      <c r="F44" s="511"/>
      <c r="G44" s="512" t="s">
        <v>785</v>
      </c>
      <c r="H44" s="512"/>
      <c r="I44" s="510" t="s">
        <v>786</v>
      </c>
      <c r="J44" s="511"/>
      <c r="K44" s="594"/>
      <c r="L44" s="595"/>
      <c r="M44" s="594"/>
      <c r="N44" s="595"/>
    </row>
    <row r="45" spans="2:14">
      <c r="B45" s="428" t="s">
        <v>755</v>
      </c>
      <c r="C45" s="513"/>
      <c r="D45" s="514"/>
      <c r="E45" s="515">
        <v>0.01</v>
      </c>
      <c r="F45" s="516"/>
      <c r="G45" s="517">
        <v>0.05</v>
      </c>
      <c r="H45" s="517"/>
      <c r="I45" s="515">
        <v>0.01</v>
      </c>
      <c r="J45" s="516"/>
      <c r="K45" s="586"/>
      <c r="L45" s="587"/>
      <c r="M45" s="586"/>
      <c r="N45" s="587"/>
    </row>
    <row r="46" spans="2:14">
      <c r="B46" s="428" t="s">
        <v>756</v>
      </c>
      <c r="C46" s="518"/>
      <c r="D46" s="519"/>
      <c r="E46" s="520">
        <v>678.62413547953986</v>
      </c>
      <c r="F46" s="521"/>
      <c r="G46" s="522">
        <v>1711.2048495767185</v>
      </c>
      <c r="H46" s="522"/>
      <c r="I46" s="520">
        <v>1750.8563277024059</v>
      </c>
      <c r="J46" s="521"/>
      <c r="K46" s="578"/>
      <c r="L46" s="579"/>
      <c r="M46" s="578"/>
      <c r="N46" s="579"/>
    </row>
    <row r="47" spans="2:14">
      <c r="B47" s="433"/>
      <c r="C47" s="434"/>
      <c r="D47" s="435"/>
      <c r="E47" s="499"/>
      <c r="F47" s="500"/>
      <c r="G47" s="501"/>
      <c r="H47" s="501"/>
      <c r="I47" s="499"/>
      <c r="J47" s="500"/>
      <c r="K47" s="592"/>
      <c r="L47" s="593"/>
      <c r="M47" s="592"/>
      <c r="N47" s="593"/>
    </row>
    <row r="48" spans="2:14">
      <c r="B48" s="502" t="s">
        <v>748</v>
      </c>
      <c r="C48" s="502"/>
      <c r="D48" s="503"/>
      <c r="E48" s="504">
        <v>84149.392799462934</v>
      </c>
      <c r="F48" s="505"/>
      <c r="G48" s="506">
        <v>48598.217727978801</v>
      </c>
      <c r="H48" s="506"/>
      <c r="I48" s="504">
        <v>294143.86305400421</v>
      </c>
      <c r="J48" s="505"/>
      <c r="K48" s="504"/>
      <c r="L48" s="505"/>
      <c r="M48" s="504"/>
      <c r="N48" s="505"/>
    </row>
    <row r="49" spans="1:14">
      <c r="B49" s="436" t="s">
        <v>758</v>
      </c>
      <c r="C49" s="437"/>
      <c r="D49" s="438"/>
      <c r="E49" s="507">
        <v>0.24000000000000002</v>
      </c>
      <c r="F49" s="508"/>
      <c r="G49" s="509">
        <v>0.42000000000000004</v>
      </c>
      <c r="H49" s="509"/>
      <c r="I49" s="507">
        <v>0.68</v>
      </c>
      <c r="J49" s="508"/>
      <c r="K49" s="596"/>
      <c r="L49" s="597"/>
      <c r="M49" s="596"/>
      <c r="N49" s="597"/>
    </row>
    <row r="50" spans="1:14">
      <c r="B50" s="439" t="s">
        <v>759</v>
      </c>
      <c r="C50" s="440"/>
      <c r="D50" s="441"/>
      <c r="E50" s="496">
        <v>0.24000000000000002</v>
      </c>
      <c r="F50" s="497"/>
      <c r="G50" s="498">
        <v>0.42000000000000004</v>
      </c>
      <c r="H50" s="498"/>
      <c r="I50" s="496">
        <v>0.68</v>
      </c>
      <c r="J50" s="497"/>
      <c r="K50" s="598"/>
      <c r="L50" s="599"/>
      <c r="M50" s="598"/>
      <c r="N50" s="599"/>
    </row>
    <row r="54" spans="1:14" ht="19.5">
      <c r="A54" s="68" t="s">
        <v>796</v>
      </c>
      <c r="C54" t="s">
        <v>926</v>
      </c>
    </row>
    <row r="55" spans="1:14" ht="15.75">
      <c r="B55" s="328" t="s">
        <v>791</v>
      </c>
      <c r="C55" s="328" t="s">
        <v>792</v>
      </c>
    </row>
    <row r="56" spans="1:14">
      <c r="B56" s="285" t="s">
        <v>793</v>
      </c>
      <c r="C56" s="100">
        <v>39031420</v>
      </c>
      <c r="E56" s="329"/>
    </row>
    <row r="57" spans="1:14">
      <c r="B57" s="285" t="s">
        <v>794</v>
      </c>
      <c r="C57" s="100">
        <v>36403000</v>
      </c>
      <c r="E57" s="329"/>
    </row>
    <row r="58" spans="1:14" ht="15.75" thickBot="1">
      <c r="B58" s="324" t="s">
        <v>797</v>
      </c>
      <c r="C58" s="325">
        <v>52074800</v>
      </c>
      <c r="E58" s="329"/>
    </row>
    <row r="59" spans="1:14" ht="15.75" thickTop="1">
      <c r="B59" s="326" t="s">
        <v>795</v>
      </c>
      <c r="C59" s="327">
        <f>C56</f>
        <v>39031420</v>
      </c>
      <c r="E59" s="329"/>
    </row>
  </sheetData>
  <mergeCells count="239">
    <mergeCell ref="B2:J2"/>
    <mergeCell ref="M49:N49"/>
    <mergeCell ref="M50:N50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K48:L48"/>
    <mergeCell ref="K49:L49"/>
    <mergeCell ref="K50:L50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9:L9"/>
    <mergeCell ref="K10:L10"/>
    <mergeCell ref="K11:L11"/>
    <mergeCell ref="K12:L12"/>
    <mergeCell ref="K13:L13"/>
    <mergeCell ref="K14:L14"/>
    <mergeCell ref="K15:L15"/>
    <mergeCell ref="K16:L16"/>
    <mergeCell ref="K20:L20"/>
    <mergeCell ref="C7:D7"/>
    <mergeCell ref="E7:F7"/>
    <mergeCell ref="G7:H7"/>
    <mergeCell ref="I7:J7"/>
    <mergeCell ref="C8:D8"/>
    <mergeCell ref="E8:F8"/>
    <mergeCell ref="G8:H8"/>
    <mergeCell ref="I8:J8"/>
    <mergeCell ref="K7:L7"/>
    <mergeCell ref="K8:L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B16:D16"/>
    <mergeCell ref="E16:F16"/>
    <mergeCell ref="G16:H16"/>
    <mergeCell ref="I16:J16"/>
    <mergeCell ref="C17:D17"/>
    <mergeCell ref="C18:D18"/>
    <mergeCell ref="C19:D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B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E50:F50"/>
    <mergeCell ref="G50:H50"/>
    <mergeCell ref="I50:J50"/>
    <mergeCell ref="E47:F47"/>
    <mergeCell ref="G47:H47"/>
    <mergeCell ref="I47:J47"/>
    <mergeCell ref="B48:D48"/>
    <mergeCell ref="E48:F48"/>
    <mergeCell ref="G48:H48"/>
    <mergeCell ref="I48:J48"/>
    <mergeCell ref="E49:F49"/>
    <mergeCell ref="G49:H49"/>
    <mergeCell ref="I49:J49"/>
  </mergeCells>
  <dataValidations count="1">
    <dataValidation type="list" allowBlank="1" showInputMessage="1" showErrorMessage="1" sqref="G3" xr:uid="{83BE6D33-666D-41BE-AE30-7544140B5ED7}">
      <formula1>"true,false"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2945-E068-4695-97A0-1A26AD9FF578}">
  <sheetPr>
    <tabColor theme="7" tint="0.79998168889431442"/>
  </sheetPr>
  <dimension ref="A1:M28"/>
  <sheetViews>
    <sheetView workbookViewId="0"/>
  </sheetViews>
  <sheetFormatPr defaultRowHeight="15"/>
  <cols>
    <col min="1" max="1" width="2.140625" customWidth="1"/>
    <col min="2" max="2" width="30" customWidth="1"/>
    <col min="3" max="3" width="9.5703125" bestFit="1" customWidth="1"/>
  </cols>
  <sheetData>
    <row r="1" spans="1:13" ht="31.5">
      <c r="A1" s="70" t="s">
        <v>934</v>
      </c>
    </row>
    <row r="3" spans="1:13">
      <c r="D3" s="445">
        <v>1</v>
      </c>
      <c r="E3" s="445">
        <f>D3+1</f>
        <v>2</v>
      </c>
      <c r="F3" s="445">
        <f t="shared" ref="F3:M3" si="0">E3+1</f>
        <v>3</v>
      </c>
      <c r="G3" s="445">
        <f t="shared" si="0"/>
        <v>4</v>
      </c>
      <c r="H3" s="445">
        <f t="shared" si="0"/>
        <v>5</v>
      </c>
      <c r="I3" s="445">
        <f t="shared" si="0"/>
        <v>6</v>
      </c>
      <c r="J3" s="445">
        <f t="shared" si="0"/>
        <v>7</v>
      </c>
      <c r="K3" s="445">
        <f t="shared" si="0"/>
        <v>8</v>
      </c>
      <c r="L3" s="445">
        <f t="shared" si="0"/>
        <v>9</v>
      </c>
      <c r="M3" s="445">
        <f t="shared" si="0"/>
        <v>10</v>
      </c>
    </row>
    <row r="4" spans="1:13">
      <c r="J4" s="369" t="s">
        <v>970</v>
      </c>
    </row>
    <row r="5" spans="1:13" ht="15.75" thickBot="1">
      <c r="B5" s="456" t="s">
        <v>969</v>
      </c>
      <c r="C5" s="457" t="s">
        <v>935</v>
      </c>
      <c r="D5" s="457" t="s">
        <v>936</v>
      </c>
      <c r="E5" s="457" t="s">
        <v>937</v>
      </c>
      <c r="F5" s="457" t="s">
        <v>938</v>
      </c>
      <c r="G5" s="457" t="s">
        <v>939</v>
      </c>
      <c r="H5" s="457" t="s">
        <v>940</v>
      </c>
      <c r="I5" s="457" t="s">
        <v>941</v>
      </c>
      <c r="J5" s="457" t="s">
        <v>942</v>
      </c>
      <c r="K5" s="457" t="s">
        <v>943</v>
      </c>
      <c r="L5" s="457" t="s">
        <v>944</v>
      </c>
      <c r="M5" s="457" t="s">
        <v>945</v>
      </c>
    </row>
    <row r="6" spans="1:13">
      <c r="B6" s="454" t="s">
        <v>946</v>
      </c>
      <c r="C6" s="455">
        <v>-107.74445600000001</v>
      </c>
      <c r="D6" s="455">
        <v>15.770423945142792</v>
      </c>
      <c r="E6" s="455">
        <v>17.103302510613769</v>
      </c>
      <c r="F6" s="455">
        <v>18.944043122352276</v>
      </c>
      <c r="G6" s="455">
        <v>21.142955850499536</v>
      </c>
      <c r="H6" s="455">
        <v>23.827430366983954</v>
      </c>
      <c r="I6" s="455">
        <v>24.265953312446349</v>
      </c>
      <c r="J6" s="455">
        <v>26.20285052782868</v>
      </c>
      <c r="K6" s="455">
        <v>27.732416519273322</v>
      </c>
      <c r="L6" s="455">
        <v>28.887125313058604</v>
      </c>
      <c r="M6" s="455">
        <v>29.553169728329408</v>
      </c>
    </row>
    <row r="7" spans="1:13" ht="15.75" thickBot="1">
      <c r="B7" s="443" t="s">
        <v>947</v>
      </c>
      <c r="C7" s="446"/>
      <c r="D7" s="449">
        <v>2.1385343474636</v>
      </c>
      <c r="E7" s="449">
        <v>2.400617720729938</v>
      </c>
      <c r="F7" s="449">
        <v>2.7480916533451087</v>
      </c>
      <c r="G7" s="449">
        <v>3.1654423776667597</v>
      </c>
      <c r="H7" s="449">
        <v>3.6770096684630253</v>
      </c>
      <c r="I7" s="449">
        <v>2.0939084467958882</v>
      </c>
      <c r="J7" s="449">
        <v>2.3308439564186831</v>
      </c>
      <c r="K7" s="449">
        <v>2.5403504581777612</v>
      </c>
      <c r="L7" s="449">
        <v>2.7221846744673646</v>
      </c>
      <c r="M7" s="449">
        <v>2.862313782902449</v>
      </c>
    </row>
    <row r="8" spans="1:13" ht="15.75" thickTop="1">
      <c r="B8" s="326" t="s">
        <v>948</v>
      </c>
      <c r="C8" s="447"/>
      <c r="D8" s="447">
        <f t="shared" ref="D8:M8" si="1">+D6-D7</f>
        <v>13.631889597679191</v>
      </c>
      <c r="E8" s="447">
        <f t="shared" si="1"/>
        <v>14.702684789883831</v>
      </c>
      <c r="F8" s="447">
        <f t="shared" si="1"/>
        <v>16.195951469007166</v>
      </c>
      <c r="G8" s="447">
        <f t="shared" si="1"/>
        <v>17.977513472832776</v>
      </c>
      <c r="H8" s="447">
        <f t="shared" si="1"/>
        <v>20.150420698520929</v>
      </c>
      <c r="I8" s="447">
        <f t="shared" si="1"/>
        <v>22.172044865650463</v>
      </c>
      <c r="J8" s="447">
        <f t="shared" si="1"/>
        <v>23.872006571409997</v>
      </c>
      <c r="K8" s="447">
        <f t="shared" si="1"/>
        <v>25.192066061095559</v>
      </c>
      <c r="L8" s="447">
        <f t="shared" si="1"/>
        <v>26.16494063859124</v>
      </c>
      <c r="M8" s="447">
        <f t="shared" si="1"/>
        <v>26.690855945426961</v>
      </c>
    </row>
    <row r="9" spans="1:13">
      <c r="B9" s="285" t="s">
        <v>949</v>
      </c>
      <c r="C9" s="442"/>
      <c r="D9" s="448">
        <v>9.5423866550697642</v>
      </c>
      <c r="E9" s="448">
        <v>9.7501209223574641</v>
      </c>
      <c r="F9" s="448">
        <v>10.039814658107392</v>
      </c>
      <c r="G9" s="448">
        <v>10.38543768684956</v>
      </c>
      <c r="H9" s="448">
        <v>10.806981688633062</v>
      </c>
      <c r="I9" s="448">
        <v>11.199176777056191</v>
      </c>
      <c r="J9" s="448">
        <v>11.52896934797354</v>
      </c>
      <c r="K9" s="448">
        <v>4.8872608158525388</v>
      </c>
      <c r="L9" s="448">
        <v>5.0759984838867007</v>
      </c>
      <c r="M9" s="448">
        <v>5.1780260534128306</v>
      </c>
    </row>
    <row r="10" spans="1:13">
      <c r="B10" s="285" t="s">
        <v>950</v>
      </c>
      <c r="C10" s="442"/>
      <c r="D10" s="448">
        <v>-3.0776355580132804</v>
      </c>
      <c r="E10" s="448">
        <v>-3.3193861484405778</v>
      </c>
      <c r="F10" s="448">
        <v>-3.6565170059299716</v>
      </c>
      <c r="G10" s="448">
        <v>-4.0587355342191467</v>
      </c>
      <c r="H10" s="448">
        <v>-4.549307035266251</v>
      </c>
      <c r="I10" s="448">
        <v>-2.502861880718612</v>
      </c>
      <c r="J10" s="448">
        <v>-2.6947598034320266</v>
      </c>
      <c r="K10" s="448">
        <v>-2.8437729682995281</v>
      </c>
      <c r="L10" s="448">
        <v>-2.953594624781315</v>
      </c>
      <c r="M10" s="448">
        <v>-3.01296187673942</v>
      </c>
    </row>
    <row r="11" spans="1:13" ht="15.75" thickBot="1">
      <c r="B11" s="285" t="s">
        <v>951</v>
      </c>
      <c r="C11" s="442"/>
      <c r="D11" s="448">
        <v>-15.961015379430938</v>
      </c>
      <c r="E11" s="448">
        <v>1.4938770117823035</v>
      </c>
      <c r="F11" s="448">
        <v>2.0832711807474134</v>
      </c>
      <c r="G11" s="448">
        <v>2.485474852665595</v>
      </c>
      <c r="H11" s="448">
        <v>3.0314444599886041</v>
      </c>
      <c r="I11" s="448">
        <v>2.8203879618850589</v>
      </c>
      <c r="J11" s="448">
        <v>2.3716334660746963</v>
      </c>
      <c r="K11" s="448">
        <v>1.841628109821972</v>
      </c>
      <c r="L11" s="448">
        <v>1.3572669892885667</v>
      </c>
      <c r="M11" s="448">
        <v>0.73370966992174758</v>
      </c>
    </row>
    <row r="12" spans="1:13" ht="15.75" thickTop="1">
      <c r="B12" s="326" t="s">
        <v>952</v>
      </c>
      <c r="C12" s="447"/>
      <c r="D12" s="447">
        <f t="shared" ref="D12:M12" si="2">+D8+D9+D10+D11+D7</f>
        <v>6.2741596627683345</v>
      </c>
      <c r="E12" s="447">
        <f t="shared" si="2"/>
        <v>25.027914296312954</v>
      </c>
      <c r="F12" s="447">
        <f t="shared" si="2"/>
        <v>27.410611955277112</v>
      </c>
      <c r="G12" s="447">
        <f t="shared" si="2"/>
        <v>29.955132855795544</v>
      </c>
      <c r="H12" s="447">
        <f t="shared" si="2"/>
        <v>33.116549480339373</v>
      </c>
      <c r="I12" s="447">
        <f t="shared" si="2"/>
        <v>35.782656170668993</v>
      </c>
      <c r="J12" s="447">
        <f t="shared" si="2"/>
        <v>37.408693538444894</v>
      </c>
      <c r="K12" s="447">
        <f t="shared" si="2"/>
        <v>31.617532476648304</v>
      </c>
      <c r="L12" s="447">
        <f t="shared" si="2"/>
        <v>32.366796161452555</v>
      </c>
      <c r="M12" s="447">
        <f t="shared" si="2"/>
        <v>32.451943574924563</v>
      </c>
    </row>
    <row r="13" spans="1:13" ht="15.75" thickBot="1">
      <c r="B13" s="285" t="s">
        <v>953</v>
      </c>
      <c r="C13" s="442"/>
      <c r="D13" s="442">
        <f>1/((1+$C$16)^D3)</f>
        <v>0.90497737556561086</v>
      </c>
      <c r="E13" s="442">
        <f t="shared" ref="E13:M13" si="3">1/((1+$C$16)^E3)</f>
        <v>0.81898405028562071</v>
      </c>
      <c r="F13" s="442">
        <f t="shared" si="3"/>
        <v>0.74116203645757528</v>
      </c>
      <c r="G13" s="442">
        <f t="shared" si="3"/>
        <v>0.67073487462224002</v>
      </c>
      <c r="H13" s="442">
        <f t="shared" si="3"/>
        <v>0.60699988653596382</v>
      </c>
      <c r="I13" s="442">
        <f t="shared" si="3"/>
        <v>0.54932116428594002</v>
      </c>
      <c r="J13" s="442">
        <f t="shared" si="3"/>
        <v>0.49712322559813582</v>
      </c>
      <c r="K13" s="442">
        <f t="shared" si="3"/>
        <v>0.44988527203451206</v>
      </c>
      <c r="L13" s="442">
        <f t="shared" si="3"/>
        <v>0.40713599279141366</v>
      </c>
      <c r="M13" s="442">
        <f t="shared" si="3"/>
        <v>0.36844886225467294</v>
      </c>
    </row>
    <row r="14" spans="1:13" ht="15.75" thickTop="1">
      <c r="B14" s="326" t="s">
        <v>954</v>
      </c>
      <c r="C14" s="447"/>
      <c r="D14" s="447">
        <f t="shared" ref="D14:M14" si="4">+D12*D13</f>
        <v>5.6779725454917056</v>
      </c>
      <c r="E14" s="447">
        <f t="shared" si="4"/>
        <v>20.497462620595773</v>
      </c>
      <c r="F14" s="447">
        <f t="shared" si="4"/>
        <v>20.315704977321545</v>
      </c>
      <c r="G14" s="447">
        <f t="shared" si="4"/>
        <v>20.091952280324566</v>
      </c>
      <c r="H14" s="447">
        <f t="shared" si="4"/>
        <v>20.101741777028632</v>
      </c>
      <c r="I14" s="447">
        <f t="shared" si="4"/>
        <v>19.656170348915367</v>
      </c>
      <c r="J14" s="447">
        <f t="shared" si="4"/>
        <v>18.596730397243867</v>
      </c>
      <c r="K14" s="447">
        <f t="shared" si="4"/>
        <v>14.224262199316941</v>
      </c>
      <c r="L14" s="447">
        <f t="shared" si="4"/>
        <v>13.177687688670304</v>
      </c>
      <c r="M14" s="447">
        <f t="shared" si="4"/>
        <v>11.956881688133798</v>
      </c>
    </row>
    <row r="16" spans="1:13">
      <c r="B16" s="285" t="s">
        <v>955</v>
      </c>
      <c r="C16" s="450">
        <v>0.105</v>
      </c>
    </row>
    <row r="17" spans="2:4">
      <c r="B17" s="285" t="s">
        <v>956</v>
      </c>
      <c r="C17" s="450">
        <v>2.5000000000000001E-2</v>
      </c>
    </row>
    <row r="19" spans="2:4">
      <c r="B19" s="285" t="s">
        <v>957</v>
      </c>
      <c r="C19" s="451">
        <f>(M12*(1+C16))/(C16-C17)</f>
        <v>448.24247062864555</v>
      </c>
      <c r="D19" s="369" t="s">
        <v>968</v>
      </c>
    </row>
    <row r="20" spans="2:4">
      <c r="B20" s="285" t="s">
        <v>958</v>
      </c>
      <c r="C20" s="451">
        <f>C19*M13</f>
        <v>165.15442831734811</v>
      </c>
    </row>
    <row r="21" spans="2:4">
      <c r="B21" s="285" t="s">
        <v>959</v>
      </c>
      <c r="C21" s="451">
        <f>SUM(D14:M14)</f>
        <v>164.29656652304251</v>
      </c>
    </row>
    <row r="22" spans="2:4">
      <c r="B22" s="287" t="s">
        <v>965</v>
      </c>
      <c r="C22" s="452">
        <f>+C20+C21</f>
        <v>329.45099484039065</v>
      </c>
    </row>
    <row r="23" spans="2:4">
      <c r="B23" s="285" t="s">
        <v>960</v>
      </c>
      <c r="C23" s="453">
        <v>-646.46673600000008</v>
      </c>
    </row>
    <row r="24" spans="2:4">
      <c r="B24" s="285" t="s">
        <v>961</v>
      </c>
      <c r="C24" s="453">
        <v>0</v>
      </c>
    </row>
    <row r="25" spans="2:4">
      <c r="B25" s="287" t="s">
        <v>962</v>
      </c>
      <c r="C25" s="452">
        <f>+C22-C23</f>
        <v>975.91773084039073</v>
      </c>
    </row>
    <row r="27" spans="2:4">
      <c r="B27" s="285" t="s">
        <v>963</v>
      </c>
      <c r="C27" s="444">
        <f>+C22/D6</f>
        <v>20.890433636177537</v>
      </c>
    </row>
    <row r="28" spans="2:4">
      <c r="B28" s="285" t="s">
        <v>964</v>
      </c>
      <c r="C28" s="444">
        <f>+C22/D8</f>
        <v>24.167668941250756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4B98-B915-4EF4-996A-44648A3B60B3}">
  <sheetPr codeName="Sheet9">
    <tabColor theme="9"/>
  </sheetPr>
  <dimension ref="A1:J71"/>
  <sheetViews>
    <sheetView showGridLines="0" zoomScaleNormal="100" workbookViewId="0"/>
  </sheetViews>
  <sheetFormatPr defaultColWidth="9.140625" defaultRowHeight="15"/>
  <cols>
    <col min="1" max="1" width="2.85546875" customWidth="1"/>
    <col min="2" max="2" width="13.85546875" customWidth="1"/>
    <col min="3" max="6" width="11.28515625" customWidth="1"/>
    <col min="10" max="10" width="43.85546875" customWidth="1"/>
  </cols>
  <sheetData>
    <row r="1" spans="1:10" ht="31.5">
      <c r="A1" s="70" t="s">
        <v>4</v>
      </c>
    </row>
    <row r="2" spans="1:10" ht="16.5">
      <c r="B2" s="600" t="s">
        <v>929</v>
      </c>
      <c r="C2" s="600"/>
      <c r="D2" s="600"/>
      <c r="E2" s="600"/>
      <c r="F2" s="600"/>
      <c r="G2" s="600"/>
      <c r="H2" s="600"/>
      <c r="I2" s="600"/>
      <c r="J2" s="600"/>
    </row>
    <row r="3" spans="1:10" ht="15.75" customHeight="1">
      <c r="B3" s="600" t="s">
        <v>191</v>
      </c>
      <c r="C3" s="600"/>
      <c r="D3" s="600"/>
      <c r="E3" s="600"/>
      <c r="F3" s="600"/>
      <c r="G3" s="600"/>
      <c r="H3" s="600"/>
      <c r="I3" s="600"/>
      <c r="J3" s="600"/>
    </row>
    <row r="4" spans="1:10" ht="15.75" customHeight="1">
      <c r="B4" s="600" t="s">
        <v>893</v>
      </c>
      <c r="C4" s="600"/>
      <c r="D4" s="600"/>
      <c r="E4" s="600"/>
      <c r="F4" s="600"/>
      <c r="G4" s="600"/>
      <c r="H4" s="600"/>
      <c r="I4" s="600"/>
      <c r="J4" s="600"/>
    </row>
    <row r="5" spans="1:10" ht="15.75" customHeight="1">
      <c r="B5" s="600" t="s">
        <v>190</v>
      </c>
      <c r="C5" s="600"/>
      <c r="D5" s="600"/>
      <c r="E5" s="600"/>
      <c r="F5" s="600"/>
      <c r="G5" s="600"/>
      <c r="H5" s="600"/>
      <c r="I5" s="600"/>
      <c r="J5" s="600"/>
    </row>
    <row r="6" spans="1:10" ht="30.75" customHeight="1">
      <c r="B6" s="49" t="s">
        <v>189</v>
      </c>
      <c r="D6" s="601" t="s">
        <v>188</v>
      </c>
      <c r="E6" s="601"/>
      <c r="F6" s="601"/>
      <c r="G6" s="601"/>
      <c r="H6" s="601"/>
      <c r="I6" s="601"/>
      <c r="J6" s="601"/>
    </row>
    <row r="9" spans="1:10" ht="19.5">
      <c r="A9" s="68" t="s">
        <v>187</v>
      </c>
    </row>
    <row r="10" spans="1:10" ht="25.5" customHeight="1">
      <c r="B10" s="600" t="s">
        <v>186</v>
      </c>
      <c r="C10" s="600"/>
      <c r="D10" s="600"/>
      <c r="E10" s="600"/>
      <c r="F10" s="600"/>
      <c r="G10" s="600"/>
      <c r="H10" s="600"/>
      <c r="I10" s="600"/>
      <c r="J10" s="600"/>
    </row>
    <row r="11" spans="1:10" ht="25.5" customHeight="1">
      <c r="B11" s="49" t="s">
        <v>185</v>
      </c>
      <c r="C11" s="49"/>
      <c r="D11" s="49"/>
      <c r="E11" s="49"/>
      <c r="F11" s="49"/>
      <c r="G11" s="49"/>
      <c r="H11" s="49"/>
      <c r="I11" s="49"/>
      <c r="J11" s="49"/>
    </row>
    <row r="12" spans="1:10" ht="30">
      <c r="B12" s="105" t="s">
        <v>178</v>
      </c>
      <c r="C12" s="105" t="s">
        <v>181</v>
      </c>
    </row>
    <row r="13" spans="1:10" ht="15.75" thickBot="1">
      <c r="B13" s="104" t="s">
        <v>173</v>
      </c>
      <c r="C13" s="104">
        <v>2015</v>
      </c>
      <c r="D13" s="104">
        <v>2016</v>
      </c>
      <c r="E13" s="104">
        <v>2017</v>
      </c>
      <c r="F13" s="104" t="s">
        <v>176</v>
      </c>
    </row>
    <row r="14" spans="1:10">
      <c r="B14" s="103" t="s">
        <v>158</v>
      </c>
      <c r="C14" s="100"/>
      <c r="D14" s="100">
        <v>67800</v>
      </c>
      <c r="E14" s="100"/>
      <c r="F14" s="100">
        <v>67800</v>
      </c>
    </row>
    <row r="15" spans="1:10">
      <c r="B15" s="103" t="s">
        <v>163</v>
      </c>
      <c r="C15" s="100"/>
      <c r="D15" s="100">
        <v>6300</v>
      </c>
      <c r="E15" s="100"/>
      <c r="F15" s="100">
        <v>6300</v>
      </c>
    </row>
    <row r="16" spans="1:10">
      <c r="B16" s="103" t="s">
        <v>156</v>
      </c>
      <c r="C16" s="100">
        <v>23700</v>
      </c>
      <c r="D16" s="100">
        <v>2300</v>
      </c>
      <c r="E16" s="100">
        <v>40000</v>
      </c>
      <c r="F16" s="100">
        <v>66000</v>
      </c>
    </row>
    <row r="17" spans="1:10" ht="15.75" thickBot="1">
      <c r="B17" s="103" t="s">
        <v>154</v>
      </c>
      <c r="C17" s="100">
        <v>2300</v>
      </c>
      <c r="D17" s="100">
        <v>4100</v>
      </c>
      <c r="E17" s="100">
        <v>25700</v>
      </c>
      <c r="F17" s="100">
        <v>32100</v>
      </c>
    </row>
    <row r="18" spans="1:10" ht="15.75" thickTop="1">
      <c r="B18" s="102" t="s">
        <v>176</v>
      </c>
      <c r="C18" s="101">
        <v>26000</v>
      </c>
      <c r="D18" s="101">
        <v>80500</v>
      </c>
      <c r="E18" s="101">
        <v>65700</v>
      </c>
      <c r="F18" s="101">
        <v>172200</v>
      </c>
    </row>
    <row r="21" spans="1:10" ht="19.5">
      <c r="A21" s="68" t="s">
        <v>184</v>
      </c>
    </row>
    <row r="22" spans="1:10" ht="49.5" customHeight="1">
      <c r="B22" s="600" t="s">
        <v>183</v>
      </c>
      <c r="C22" s="600"/>
      <c r="D22" s="600"/>
      <c r="E22" s="600"/>
      <c r="F22" s="600"/>
      <c r="G22" s="600"/>
      <c r="H22" s="600"/>
      <c r="I22" s="600"/>
      <c r="J22" s="55"/>
    </row>
    <row r="23" spans="1:10">
      <c r="B23" s="49" t="s">
        <v>182</v>
      </c>
    </row>
    <row r="24" spans="1:10">
      <c r="B24" s="98" t="s">
        <v>178</v>
      </c>
      <c r="C24" s="98" t="s">
        <v>181</v>
      </c>
    </row>
    <row r="25" spans="1:10">
      <c r="B25" s="98" t="s">
        <v>173</v>
      </c>
      <c r="C25">
        <v>2015</v>
      </c>
      <c r="D25">
        <v>2016</v>
      </c>
      <c r="E25">
        <v>2017</v>
      </c>
      <c r="F25" t="s">
        <v>176</v>
      </c>
    </row>
    <row r="26" spans="1:10">
      <c r="B26" s="99" t="s">
        <v>158</v>
      </c>
      <c r="C26" s="53"/>
      <c r="D26" s="53">
        <v>67800</v>
      </c>
      <c r="E26" s="53"/>
      <c r="F26" s="53">
        <v>67800</v>
      </c>
    </row>
    <row r="27" spans="1:10">
      <c r="B27" s="99" t="s">
        <v>163</v>
      </c>
      <c r="C27" s="53"/>
      <c r="D27" s="53">
        <v>6300</v>
      </c>
      <c r="E27" s="53"/>
      <c r="F27" s="53">
        <v>6300</v>
      </c>
    </row>
    <row r="28" spans="1:10">
      <c r="B28" s="99" t="s">
        <v>156</v>
      </c>
      <c r="C28" s="53">
        <v>23700</v>
      </c>
      <c r="D28" s="53">
        <v>2300</v>
      </c>
      <c r="E28" s="53">
        <v>40000</v>
      </c>
      <c r="F28" s="53">
        <v>66000</v>
      </c>
    </row>
    <row r="29" spans="1:10">
      <c r="B29" s="99" t="s">
        <v>154</v>
      </c>
      <c r="C29" s="53">
        <v>2300</v>
      </c>
      <c r="D29" s="53">
        <v>4100</v>
      </c>
      <c r="E29" s="53">
        <v>25700</v>
      </c>
      <c r="F29" s="53">
        <v>32100</v>
      </c>
    </row>
    <row r="30" spans="1:10">
      <c r="B30" s="99" t="s">
        <v>176</v>
      </c>
      <c r="C30" s="53">
        <v>26000</v>
      </c>
      <c r="D30" s="53">
        <v>80500</v>
      </c>
      <c r="E30" s="53">
        <v>65700</v>
      </c>
      <c r="F30" s="53">
        <v>172200</v>
      </c>
    </row>
    <row r="37" spans="1:10" ht="19.5">
      <c r="A37" s="68" t="s">
        <v>180</v>
      </c>
    </row>
    <row r="38" spans="1:10" ht="25.5" customHeight="1">
      <c r="B38" s="600" t="s">
        <v>894</v>
      </c>
      <c r="C38" s="600"/>
      <c r="D38" s="600"/>
      <c r="E38" s="600"/>
      <c r="F38" s="600"/>
      <c r="G38" s="600"/>
      <c r="H38" s="600"/>
      <c r="I38" s="600"/>
      <c r="J38" s="600"/>
    </row>
    <row r="39" spans="1:10">
      <c r="B39" s="49" t="s">
        <v>179</v>
      </c>
    </row>
    <row r="40" spans="1:10" ht="15.75">
      <c r="B40" s="98" t="s">
        <v>178</v>
      </c>
      <c r="H40" s="54" t="s">
        <v>177</v>
      </c>
    </row>
    <row r="41" spans="1:10">
      <c r="C41">
        <v>2015</v>
      </c>
      <c r="D41">
        <v>2016</v>
      </c>
      <c r="E41">
        <v>2017</v>
      </c>
      <c r="F41" t="s">
        <v>176</v>
      </c>
    </row>
    <row r="42" spans="1:10">
      <c r="B42" s="99" t="s">
        <v>158</v>
      </c>
      <c r="C42" s="53"/>
      <c r="D42" s="53">
        <v>67800</v>
      </c>
      <c r="E42" s="53"/>
      <c r="F42" s="53">
        <v>67800</v>
      </c>
    </row>
    <row r="43" spans="1:10">
      <c r="B43" s="99" t="s">
        <v>163</v>
      </c>
      <c r="C43" s="53"/>
      <c r="D43" s="53">
        <v>6300</v>
      </c>
      <c r="E43" s="53"/>
      <c r="F43" s="53">
        <v>6300</v>
      </c>
    </row>
    <row r="44" spans="1:10">
      <c r="B44" s="99" t="s">
        <v>156</v>
      </c>
      <c r="C44" s="53">
        <v>23700</v>
      </c>
      <c r="D44" s="53">
        <v>2300</v>
      </c>
      <c r="E44" s="53">
        <v>40000</v>
      </c>
      <c r="F44" s="53">
        <v>66000</v>
      </c>
    </row>
    <row r="45" spans="1:10">
      <c r="B45" s="99" t="s">
        <v>154</v>
      </c>
      <c r="C45" s="53">
        <v>2300</v>
      </c>
      <c r="D45" s="53">
        <v>4100</v>
      </c>
      <c r="E45" s="53">
        <v>25700</v>
      </c>
      <c r="F45" s="53">
        <v>32100</v>
      </c>
    </row>
    <row r="46" spans="1:10">
      <c r="B46" s="99" t="s">
        <v>176</v>
      </c>
      <c r="C46" s="53">
        <v>26000</v>
      </c>
      <c r="D46" s="53">
        <v>80500</v>
      </c>
      <c r="E46" s="53">
        <v>65700</v>
      </c>
      <c r="F46" s="53">
        <v>172200</v>
      </c>
    </row>
    <row r="54" spans="1:6" ht="15.75">
      <c r="A54" s="50" t="s">
        <v>175</v>
      </c>
    </row>
    <row r="55" spans="1:6">
      <c r="B55" t="s">
        <v>174</v>
      </c>
      <c r="C55" t="s">
        <v>173</v>
      </c>
      <c r="D55" t="s">
        <v>172</v>
      </c>
      <c r="E55" t="s">
        <v>171</v>
      </c>
      <c r="F55" t="s">
        <v>170</v>
      </c>
    </row>
    <row r="56" spans="1:6">
      <c r="B56">
        <v>2017</v>
      </c>
      <c r="C56" t="s">
        <v>154</v>
      </c>
      <c r="D56" t="s">
        <v>169</v>
      </c>
      <c r="E56" s="53">
        <v>20000</v>
      </c>
      <c r="F56">
        <v>0.75</v>
      </c>
    </row>
    <row r="57" spans="1:6">
      <c r="B57">
        <v>2015</v>
      </c>
      <c r="C57" t="s">
        <v>156</v>
      </c>
      <c r="D57" t="s">
        <v>164</v>
      </c>
      <c r="E57" s="53">
        <v>3700</v>
      </c>
      <c r="F57">
        <v>0.22</v>
      </c>
    </row>
    <row r="58" spans="1:6">
      <c r="B58">
        <v>2017</v>
      </c>
      <c r="C58" t="s">
        <v>156</v>
      </c>
      <c r="D58" t="s">
        <v>168</v>
      </c>
      <c r="E58" s="53">
        <v>4000</v>
      </c>
      <c r="F58">
        <v>0.22</v>
      </c>
    </row>
    <row r="59" spans="1:6">
      <c r="B59">
        <v>2015</v>
      </c>
      <c r="C59" t="s">
        <v>156</v>
      </c>
      <c r="D59" t="s">
        <v>167</v>
      </c>
      <c r="E59" s="53">
        <v>13300</v>
      </c>
      <c r="F59">
        <v>0.56000000000000005</v>
      </c>
    </row>
    <row r="60" spans="1:6">
      <c r="B60">
        <v>2017</v>
      </c>
      <c r="C60" t="s">
        <v>156</v>
      </c>
      <c r="D60" t="s">
        <v>166</v>
      </c>
      <c r="E60" s="53">
        <v>36000</v>
      </c>
      <c r="F60">
        <v>1</v>
      </c>
    </row>
    <row r="61" spans="1:6">
      <c r="B61">
        <v>2015</v>
      </c>
      <c r="C61" t="s">
        <v>154</v>
      </c>
      <c r="D61" t="s">
        <v>165</v>
      </c>
      <c r="E61" s="53">
        <v>2300</v>
      </c>
      <c r="F61">
        <v>0.35</v>
      </c>
    </row>
    <row r="62" spans="1:6">
      <c r="B62">
        <v>2016</v>
      </c>
      <c r="C62" t="s">
        <v>156</v>
      </c>
      <c r="D62" t="s">
        <v>164</v>
      </c>
      <c r="E62" s="53">
        <v>2300</v>
      </c>
      <c r="F62">
        <v>0.28000000000000003</v>
      </c>
    </row>
    <row r="63" spans="1:6">
      <c r="B63">
        <v>2016</v>
      </c>
      <c r="C63" t="s">
        <v>154</v>
      </c>
      <c r="D63" t="s">
        <v>161</v>
      </c>
      <c r="E63" s="53">
        <v>3100</v>
      </c>
      <c r="F63">
        <v>0.36</v>
      </c>
    </row>
    <row r="64" spans="1:6">
      <c r="B64">
        <v>2016</v>
      </c>
      <c r="C64" t="s">
        <v>163</v>
      </c>
      <c r="D64" t="s">
        <v>162</v>
      </c>
      <c r="E64" s="53">
        <v>6300</v>
      </c>
      <c r="F64">
        <v>0.4</v>
      </c>
    </row>
    <row r="65" spans="2:6">
      <c r="B65">
        <v>2017</v>
      </c>
      <c r="C65" t="s">
        <v>154</v>
      </c>
      <c r="D65" t="s">
        <v>161</v>
      </c>
      <c r="E65" s="53">
        <v>5100</v>
      </c>
      <c r="F65">
        <v>0.38</v>
      </c>
    </row>
    <row r="66" spans="2:6">
      <c r="B66">
        <v>2016</v>
      </c>
      <c r="C66" t="s">
        <v>158</v>
      </c>
      <c r="D66" t="s">
        <v>160</v>
      </c>
      <c r="E66" s="53">
        <v>17000</v>
      </c>
      <c r="F66">
        <v>0.9</v>
      </c>
    </row>
    <row r="67" spans="2:6">
      <c r="B67">
        <v>2016</v>
      </c>
      <c r="C67" t="s">
        <v>158</v>
      </c>
      <c r="D67" t="s">
        <v>159</v>
      </c>
      <c r="E67" s="53">
        <v>21000</v>
      </c>
      <c r="F67">
        <v>0.9</v>
      </c>
    </row>
    <row r="68" spans="2:6">
      <c r="B68">
        <v>2016</v>
      </c>
      <c r="C68" t="s">
        <v>158</v>
      </c>
      <c r="D68" t="s">
        <v>157</v>
      </c>
      <c r="E68" s="53">
        <v>29800</v>
      </c>
      <c r="F68">
        <v>0.9</v>
      </c>
    </row>
    <row r="69" spans="2:6">
      <c r="B69">
        <v>2016</v>
      </c>
      <c r="C69" t="s">
        <v>154</v>
      </c>
      <c r="D69" t="s">
        <v>153</v>
      </c>
      <c r="E69" s="53">
        <v>1000</v>
      </c>
      <c r="F69">
        <v>0.23</v>
      </c>
    </row>
    <row r="70" spans="2:6">
      <c r="B70">
        <v>2015</v>
      </c>
      <c r="C70" t="s">
        <v>156</v>
      </c>
      <c r="D70" t="s">
        <v>155</v>
      </c>
      <c r="E70" s="53">
        <v>6700</v>
      </c>
      <c r="F70">
        <v>0.05</v>
      </c>
    </row>
    <row r="71" spans="2:6">
      <c r="B71">
        <v>2017</v>
      </c>
      <c r="C71" t="s">
        <v>154</v>
      </c>
      <c r="D71" t="s">
        <v>153</v>
      </c>
      <c r="E71" s="53">
        <v>600</v>
      </c>
      <c r="F71">
        <v>0.27</v>
      </c>
    </row>
  </sheetData>
  <mergeCells count="8">
    <mergeCell ref="B22:I22"/>
    <mergeCell ref="B38:J38"/>
    <mergeCell ref="B10:J10"/>
    <mergeCell ref="B2:J2"/>
    <mergeCell ref="B3:J3"/>
    <mergeCell ref="B4:J4"/>
    <mergeCell ref="B5:J5"/>
    <mergeCell ref="D6:J6"/>
  </mergeCells>
  <pageMargins left="0.7" right="0.7" top="0.75" bottom="0.75" header="0.3" footer="0.3"/>
  <pageSetup orientation="portrait" horizontalDpi="0" verticalDpi="0" r:id="rId4"/>
  <drawing r:id="rId5"/>
  <tableParts count="1"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D5F8-A053-44D7-9CDC-3AFA3AD1628C}">
  <sheetPr codeName="Sheet10">
    <tabColor theme="9"/>
  </sheetPr>
  <dimension ref="A1:O49"/>
  <sheetViews>
    <sheetView showGridLines="0" workbookViewId="0"/>
  </sheetViews>
  <sheetFormatPr defaultColWidth="9.140625" defaultRowHeight="15"/>
  <cols>
    <col min="1" max="1" width="3.42578125" customWidth="1"/>
    <col min="2" max="2" width="17.42578125" customWidth="1"/>
    <col min="3" max="3" width="10.42578125" customWidth="1"/>
    <col min="4" max="4" width="10.28515625" hidden="1" customWidth="1"/>
    <col min="5" max="5" width="10.140625" customWidth="1"/>
    <col min="6" max="6" width="10.42578125" bestFit="1" customWidth="1"/>
    <col min="7" max="7" width="10.140625" hidden="1" customWidth="1"/>
    <col min="8" max="8" width="10" customWidth="1"/>
    <col min="11" max="11" width="6.28515625" customWidth="1"/>
  </cols>
  <sheetData>
    <row r="1" spans="1:15" ht="31.5">
      <c r="A1" s="70" t="s">
        <v>1</v>
      </c>
    </row>
    <row r="2" spans="1:15" ht="18.75">
      <c r="B2" s="61" t="s">
        <v>237</v>
      </c>
    </row>
    <row r="3" spans="1:15" ht="19.5">
      <c r="A3" s="68" t="s">
        <v>236</v>
      </c>
    </row>
    <row r="4" spans="1:15" ht="15.75">
      <c r="B4" s="603" t="s">
        <v>235</v>
      </c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</row>
    <row r="5" spans="1:15" ht="15.75">
      <c r="B5" s="603" t="s">
        <v>234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</row>
    <row r="6" spans="1:15" ht="32.25" customHeight="1">
      <c r="B6" s="603" t="s">
        <v>233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</row>
    <row r="7" spans="1:15">
      <c r="B7" t="s">
        <v>232</v>
      </c>
    </row>
    <row r="8" spans="1:15">
      <c r="B8" t="s">
        <v>231</v>
      </c>
    </row>
    <row r="9" spans="1:15">
      <c r="B9" t="s">
        <v>230</v>
      </c>
    </row>
    <row r="10" spans="1:15" ht="19.5">
      <c r="A10" s="68" t="s">
        <v>229</v>
      </c>
    </row>
    <row r="11" spans="1:15">
      <c r="B11" t="s">
        <v>228</v>
      </c>
    </row>
    <row r="12" spans="1:15">
      <c r="B12" t="s">
        <v>227</v>
      </c>
    </row>
    <row r="13" spans="1:15">
      <c r="B13" t="s">
        <v>226</v>
      </c>
    </row>
    <row r="14" spans="1:15" ht="19.5">
      <c r="A14" s="68" t="s">
        <v>225</v>
      </c>
    </row>
    <row r="15" spans="1:15" ht="15.75">
      <c r="B15" t="s">
        <v>224</v>
      </c>
    </row>
    <row r="16" spans="1:15">
      <c r="B16" t="s">
        <v>223</v>
      </c>
    </row>
    <row r="17" spans="1:15">
      <c r="B17" t="s">
        <v>222</v>
      </c>
    </row>
    <row r="18" spans="1:15">
      <c r="B18" t="s">
        <v>221</v>
      </c>
    </row>
    <row r="19" spans="1:15" ht="19.5">
      <c r="A19" s="68" t="s">
        <v>71</v>
      </c>
    </row>
    <row r="20" spans="1:15" ht="15.75" thickBot="1">
      <c r="B20" t="s">
        <v>220</v>
      </c>
    </row>
    <row r="21" spans="1:15" ht="15.75" thickBot="1">
      <c r="B21" t="s">
        <v>219</v>
      </c>
      <c r="C21" s="60" t="s">
        <v>216</v>
      </c>
    </row>
    <row r="22" spans="1:15" ht="16.5" thickBot="1">
      <c r="B22" t="s">
        <v>218</v>
      </c>
      <c r="C22">
        <f>MATCH(C21,$M$23:$O$23,0)</f>
        <v>2</v>
      </c>
      <c r="M22" s="602" t="s">
        <v>217</v>
      </c>
      <c r="N22" s="602"/>
      <c r="O22" s="602"/>
    </row>
    <row r="23" spans="1:15" ht="32.25" thickBot="1">
      <c r="M23" s="52" t="s">
        <v>195</v>
      </c>
      <c r="N23" s="52" t="s">
        <v>216</v>
      </c>
      <c r="O23" s="52" t="s">
        <v>215</v>
      </c>
    </row>
    <row r="24" spans="1:15" ht="16.5" thickBot="1">
      <c r="C24" s="52" t="s">
        <v>214</v>
      </c>
      <c r="D24" s="52" t="s">
        <v>213</v>
      </c>
      <c r="E24" s="52" t="s">
        <v>212</v>
      </c>
      <c r="F24" s="52" t="s">
        <v>211</v>
      </c>
      <c r="G24" s="52" t="s">
        <v>210</v>
      </c>
      <c r="H24" s="52" t="s">
        <v>209</v>
      </c>
    </row>
    <row r="25" spans="1:15">
      <c r="B25" s="57" t="s">
        <v>67</v>
      </c>
      <c r="C25" s="59" t="str">
        <f t="shared" ref="C25:H39" si="0">"r"&amp;ROW(C25)&amp;"c"&amp;COLUMN(C25)</f>
        <v>r25c3</v>
      </c>
      <c r="D25" s="59" t="str">
        <f t="shared" si="0"/>
        <v>r25c4</v>
      </c>
      <c r="E25" s="59" t="str">
        <f t="shared" si="0"/>
        <v>r25c5</v>
      </c>
      <c r="F25" s="59" t="str">
        <f t="shared" si="0"/>
        <v>r25c6</v>
      </c>
      <c r="G25" s="59" t="str">
        <f t="shared" si="0"/>
        <v>r25c7</v>
      </c>
      <c r="H25" s="59" t="str">
        <f t="shared" si="0"/>
        <v>r25c8</v>
      </c>
      <c r="K25" s="58" cm="1">
        <f t="array" ref="K25">INDEX(M25:O25,$C$22)</f>
        <v>0</v>
      </c>
      <c r="M25" s="56"/>
      <c r="N25" s="56"/>
      <c r="O25" s="56"/>
    </row>
    <row r="26" spans="1:15">
      <c r="B26" s="57" t="s">
        <v>65</v>
      </c>
      <c r="C26" s="59" t="str">
        <f t="shared" si="0"/>
        <v>r26c3</v>
      </c>
      <c r="D26" s="59" t="str">
        <f t="shared" si="0"/>
        <v>r26c4</v>
      </c>
      <c r="E26" s="59" t="str">
        <f t="shared" si="0"/>
        <v>r26c5</v>
      </c>
      <c r="F26" s="59" t="str">
        <f t="shared" si="0"/>
        <v>r26c6</v>
      </c>
      <c r="G26" s="59" t="str">
        <f t="shared" si="0"/>
        <v>r26c7</v>
      </c>
      <c r="H26" s="59" t="str">
        <f t="shared" si="0"/>
        <v>r26c8</v>
      </c>
      <c r="K26" s="58" cm="1">
        <f t="array" ref="K26">INDEX(M26:O26,$C$22)</f>
        <v>0</v>
      </c>
      <c r="M26" s="56"/>
      <c r="N26" s="56"/>
      <c r="O26" s="56"/>
    </row>
    <row r="27" spans="1:15" hidden="1">
      <c r="B27" s="57" t="s">
        <v>208</v>
      </c>
      <c r="C27" s="59" t="str">
        <f t="shared" si="0"/>
        <v>r27c3</v>
      </c>
      <c r="D27" s="59" t="str">
        <f t="shared" si="0"/>
        <v>r27c4</v>
      </c>
      <c r="E27" s="59" t="str">
        <f t="shared" si="0"/>
        <v>r27c5</v>
      </c>
      <c r="F27" s="59" t="str">
        <f t="shared" si="0"/>
        <v>r27c6</v>
      </c>
      <c r="G27" s="59" t="str">
        <f t="shared" si="0"/>
        <v>r27c7</v>
      </c>
      <c r="H27" s="59" t="str">
        <f t="shared" si="0"/>
        <v>r27c8</v>
      </c>
      <c r="K27" s="58" t="str" cm="1">
        <f t="array" ref="K27">INDEX(M27:O27,$C$22)</f>
        <v>hide</v>
      </c>
      <c r="M27" s="56"/>
      <c r="N27" s="56" t="s">
        <v>194</v>
      </c>
      <c r="O27" s="56" t="s">
        <v>194</v>
      </c>
    </row>
    <row r="28" spans="1:15">
      <c r="B28" s="57" t="s">
        <v>207</v>
      </c>
      <c r="C28" s="59" t="str">
        <f t="shared" si="0"/>
        <v>r28c3</v>
      </c>
      <c r="D28" s="59" t="str">
        <f t="shared" si="0"/>
        <v>r28c4</v>
      </c>
      <c r="E28" s="59" t="str">
        <f t="shared" si="0"/>
        <v>r28c5</v>
      </c>
      <c r="F28" s="59" t="str">
        <f t="shared" si="0"/>
        <v>r28c6</v>
      </c>
      <c r="G28" s="59" t="str">
        <f t="shared" si="0"/>
        <v>r28c7</v>
      </c>
      <c r="H28" s="59" t="str">
        <f t="shared" si="0"/>
        <v>r28c8</v>
      </c>
      <c r="K28" s="58" cm="1">
        <f t="array" ref="K28">INDEX(M28:O28,$C$22)</f>
        <v>0</v>
      </c>
      <c r="M28" s="56"/>
      <c r="N28" s="56"/>
      <c r="O28" s="56" t="s">
        <v>194</v>
      </c>
    </row>
    <row r="29" spans="1:15" hidden="1">
      <c r="B29" s="57" t="s">
        <v>206</v>
      </c>
      <c r="C29" s="59" t="str">
        <f t="shared" si="0"/>
        <v>r29c3</v>
      </c>
      <c r="D29" s="59" t="str">
        <f t="shared" si="0"/>
        <v>r29c4</v>
      </c>
      <c r="E29" s="59" t="str">
        <f t="shared" si="0"/>
        <v>r29c5</v>
      </c>
      <c r="F29" s="59" t="str">
        <f t="shared" si="0"/>
        <v>r29c6</v>
      </c>
      <c r="G29" s="59" t="str">
        <f t="shared" si="0"/>
        <v>r29c7</v>
      </c>
      <c r="H29" s="59" t="str">
        <f t="shared" si="0"/>
        <v>r29c8</v>
      </c>
      <c r="K29" s="58" t="str" cm="1">
        <f t="array" ref="K29">INDEX(M29:O29,$C$22)</f>
        <v>hide</v>
      </c>
      <c r="M29" s="56"/>
      <c r="N29" s="56" t="s">
        <v>194</v>
      </c>
      <c r="O29" s="56" t="s">
        <v>194</v>
      </c>
    </row>
    <row r="30" spans="1:15">
      <c r="B30" s="57" t="s">
        <v>205</v>
      </c>
      <c r="C30" s="59" t="str">
        <f t="shared" si="0"/>
        <v>r30c3</v>
      </c>
      <c r="D30" s="59" t="str">
        <f t="shared" si="0"/>
        <v>r30c4</v>
      </c>
      <c r="E30" s="59" t="str">
        <f t="shared" si="0"/>
        <v>r30c5</v>
      </c>
      <c r="F30" s="59" t="str">
        <f t="shared" si="0"/>
        <v>r30c6</v>
      </c>
      <c r="G30" s="59" t="str">
        <f t="shared" si="0"/>
        <v>r30c7</v>
      </c>
      <c r="H30" s="59" t="str">
        <f t="shared" si="0"/>
        <v>r30c8</v>
      </c>
      <c r="K30" s="58" cm="1">
        <f t="array" ref="K30">INDEX(M30:O30,$C$22)</f>
        <v>0</v>
      </c>
      <c r="M30" s="56"/>
      <c r="N30" s="56"/>
      <c r="O30" s="56"/>
    </row>
    <row r="31" spans="1:15" hidden="1">
      <c r="B31" s="57" t="s">
        <v>204</v>
      </c>
      <c r="C31" s="59" t="str">
        <f t="shared" si="0"/>
        <v>r31c3</v>
      </c>
      <c r="D31" s="59" t="str">
        <f t="shared" si="0"/>
        <v>r31c4</v>
      </c>
      <c r="E31" s="59" t="str">
        <f t="shared" si="0"/>
        <v>r31c5</v>
      </c>
      <c r="F31" s="59" t="str">
        <f t="shared" si="0"/>
        <v>r31c6</v>
      </c>
      <c r="G31" s="59" t="str">
        <f t="shared" si="0"/>
        <v>r31c7</v>
      </c>
      <c r="H31" s="59" t="str">
        <f t="shared" si="0"/>
        <v>r31c8</v>
      </c>
      <c r="K31" s="58" t="str" cm="1">
        <f t="array" ref="K31">INDEX(M31:O31,$C$22)</f>
        <v>hide</v>
      </c>
      <c r="M31" s="56"/>
      <c r="N31" s="56" t="s">
        <v>194</v>
      </c>
      <c r="O31" s="56" t="s">
        <v>194</v>
      </c>
    </row>
    <row r="32" spans="1:15">
      <c r="B32" s="57" t="s">
        <v>203</v>
      </c>
      <c r="C32" s="59" t="str">
        <f t="shared" si="0"/>
        <v>r32c3</v>
      </c>
      <c r="D32" s="59" t="str">
        <f t="shared" si="0"/>
        <v>r32c4</v>
      </c>
      <c r="E32" s="59" t="str">
        <f t="shared" si="0"/>
        <v>r32c5</v>
      </c>
      <c r="F32" s="59" t="str">
        <f t="shared" si="0"/>
        <v>r32c6</v>
      </c>
      <c r="G32" s="59" t="str">
        <f t="shared" si="0"/>
        <v>r32c7</v>
      </c>
      <c r="H32" s="59" t="str">
        <f t="shared" si="0"/>
        <v>r32c8</v>
      </c>
      <c r="K32" s="58" cm="1">
        <f t="array" ref="K32">INDEX(M32:O32,$C$22)</f>
        <v>0</v>
      </c>
      <c r="M32" s="56"/>
      <c r="N32" s="56"/>
      <c r="O32" s="56" t="s">
        <v>194</v>
      </c>
    </row>
    <row r="33" spans="2:15">
      <c r="B33" s="57" t="s">
        <v>202</v>
      </c>
      <c r="C33" s="59" t="str">
        <f t="shared" si="0"/>
        <v>r33c3</v>
      </c>
      <c r="D33" s="59" t="str">
        <f t="shared" si="0"/>
        <v>r33c4</v>
      </c>
      <c r="E33" s="59" t="str">
        <f t="shared" si="0"/>
        <v>r33c5</v>
      </c>
      <c r="F33" s="59" t="str">
        <f t="shared" si="0"/>
        <v>r33c6</v>
      </c>
      <c r="G33" s="59" t="str">
        <f t="shared" si="0"/>
        <v>r33c7</v>
      </c>
      <c r="H33" s="59" t="str">
        <f t="shared" si="0"/>
        <v>r33c8</v>
      </c>
      <c r="K33" s="58" cm="1">
        <f t="array" ref="K33">INDEX(M33:O33,$C$22)</f>
        <v>0</v>
      </c>
      <c r="M33" s="56"/>
      <c r="N33" s="56"/>
      <c r="O33" s="56" t="s">
        <v>194</v>
      </c>
    </row>
    <row r="34" spans="2:15" hidden="1">
      <c r="B34" s="57" t="s">
        <v>201</v>
      </c>
      <c r="C34" s="59" t="str">
        <f t="shared" si="0"/>
        <v>r34c3</v>
      </c>
      <c r="D34" s="59" t="str">
        <f t="shared" si="0"/>
        <v>r34c4</v>
      </c>
      <c r="E34" s="59" t="str">
        <f t="shared" si="0"/>
        <v>r34c5</v>
      </c>
      <c r="F34" s="59" t="str">
        <f t="shared" si="0"/>
        <v>r34c6</v>
      </c>
      <c r="G34" s="59" t="str">
        <f t="shared" si="0"/>
        <v>r34c7</v>
      </c>
      <c r="H34" s="59" t="str">
        <f t="shared" si="0"/>
        <v>r34c8</v>
      </c>
      <c r="K34" s="58" t="str" cm="1">
        <f t="array" ref="K34">INDEX(M34:O34,$C$22)</f>
        <v>hide</v>
      </c>
      <c r="M34" s="56"/>
      <c r="N34" s="56" t="s">
        <v>194</v>
      </c>
      <c r="O34" s="56" t="s">
        <v>194</v>
      </c>
    </row>
    <row r="35" spans="2:15">
      <c r="B35" s="57" t="s">
        <v>200</v>
      </c>
      <c r="C35" s="59" t="str">
        <f t="shared" si="0"/>
        <v>r35c3</v>
      </c>
      <c r="D35" s="59" t="str">
        <f t="shared" si="0"/>
        <v>r35c4</v>
      </c>
      <c r="E35" s="59" t="str">
        <f t="shared" si="0"/>
        <v>r35c5</v>
      </c>
      <c r="F35" s="59" t="str">
        <f t="shared" si="0"/>
        <v>r35c6</v>
      </c>
      <c r="G35" s="59" t="str">
        <f t="shared" si="0"/>
        <v>r35c7</v>
      </c>
      <c r="H35" s="59" t="str">
        <f t="shared" si="0"/>
        <v>r35c8</v>
      </c>
      <c r="K35" s="58" cm="1">
        <f t="array" ref="K35">INDEX(M35:O35,$C$22)</f>
        <v>0</v>
      </c>
      <c r="M35" s="56"/>
      <c r="N35" s="56"/>
      <c r="O35" s="56"/>
    </row>
    <row r="36" spans="2:15">
      <c r="B36" s="57" t="s">
        <v>199</v>
      </c>
      <c r="C36" s="59" t="str">
        <f t="shared" si="0"/>
        <v>r36c3</v>
      </c>
      <c r="D36" s="59" t="str">
        <f t="shared" si="0"/>
        <v>r36c4</v>
      </c>
      <c r="E36" s="59" t="str">
        <f t="shared" si="0"/>
        <v>r36c5</v>
      </c>
      <c r="F36" s="59" t="str">
        <f t="shared" si="0"/>
        <v>r36c6</v>
      </c>
      <c r="G36" s="59" t="str">
        <f t="shared" si="0"/>
        <v>r36c7</v>
      </c>
      <c r="H36" s="59" t="str">
        <f t="shared" si="0"/>
        <v>r36c8</v>
      </c>
      <c r="K36" s="58" cm="1">
        <f t="array" ref="K36">INDEX(M36:O36,$C$22)</f>
        <v>0</v>
      </c>
      <c r="M36" s="56"/>
      <c r="N36" s="56"/>
      <c r="O36" s="56"/>
    </row>
    <row r="37" spans="2:15" hidden="1">
      <c r="B37" s="57" t="s">
        <v>198</v>
      </c>
      <c r="C37" s="59" t="str">
        <f t="shared" si="0"/>
        <v>r37c3</v>
      </c>
      <c r="D37" s="59" t="str">
        <f t="shared" si="0"/>
        <v>r37c4</v>
      </c>
      <c r="E37" s="59" t="str">
        <f t="shared" si="0"/>
        <v>r37c5</v>
      </c>
      <c r="F37" s="59" t="str">
        <f t="shared" si="0"/>
        <v>r37c6</v>
      </c>
      <c r="G37" s="59" t="str">
        <f t="shared" si="0"/>
        <v>r37c7</v>
      </c>
      <c r="H37" s="59" t="str">
        <f t="shared" si="0"/>
        <v>r37c8</v>
      </c>
      <c r="K37" s="58" t="str" cm="1">
        <f t="array" ref="K37">INDEX(M37:O37,$C$22)</f>
        <v>hide</v>
      </c>
      <c r="M37" s="56"/>
      <c r="N37" s="56" t="s">
        <v>194</v>
      </c>
      <c r="O37" s="56" t="s">
        <v>194</v>
      </c>
    </row>
    <row r="38" spans="2:15">
      <c r="B38" s="57" t="s">
        <v>197</v>
      </c>
      <c r="C38" s="59" t="str">
        <f t="shared" si="0"/>
        <v>r38c3</v>
      </c>
      <c r="D38" s="59" t="str">
        <f t="shared" si="0"/>
        <v>r38c4</v>
      </c>
      <c r="E38" s="59" t="str">
        <f t="shared" si="0"/>
        <v>r38c5</v>
      </c>
      <c r="F38" s="59" t="str">
        <f t="shared" si="0"/>
        <v>r38c6</v>
      </c>
      <c r="G38" s="59" t="str">
        <f t="shared" si="0"/>
        <v>r38c7</v>
      </c>
      <c r="H38" s="59" t="str">
        <f t="shared" si="0"/>
        <v>r38c8</v>
      </c>
      <c r="K38" s="58" cm="1">
        <f t="array" ref="K38">INDEX(M38:O38,$C$22)</f>
        <v>0</v>
      </c>
      <c r="M38" s="56"/>
      <c r="N38" s="56"/>
      <c r="O38" s="56"/>
    </row>
    <row r="39" spans="2:15">
      <c r="B39" s="57" t="s">
        <v>196</v>
      </c>
      <c r="C39" s="59" t="str">
        <f t="shared" si="0"/>
        <v>r39c3</v>
      </c>
      <c r="D39" s="59" t="str">
        <f t="shared" si="0"/>
        <v>r39c4</v>
      </c>
      <c r="E39" s="59" t="str">
        <f t="shared" si="0"/>
        <v>r39c5</v>
      </c>
      <c r="F39" s="59" t="str">
        <f t="shared" si="0"/>
        <v>r39c6</v>
      </c>
      <c r="G39" s="59" t="str">
        <f t="shared" si="0"/>
        <v>r39c7</v>
      </c>
      <c r="H39" s="59" t="str">
        <f t="shared" si="0"/>
        <v>r39c8</v>
      </c>
      <c r="K39" s="58" cm="1">
        <f t="array" ref="K39">INDEX(M39:O39,$C$22)</f>
        <v>0</v>
      </c>
      <c r="M39" s="56"/>
      <c r="N39" s="56"/>
      <c r="O39" s="56"/>
    </row>
    <row r="41" spans="2:15">
      <c r="C41" s="58" cm="1">
        <f t="array" ref="C41">INDEX(C43:C45,$C$22)</f>
        <v>0</v>
      </c>
      <c r="D41" s="58" t="str" cm="1">
        <f t="array" ref="D41">INDEX(D43:D45,$C$22)</f>
        <v>hide</v>
      </c>
      <c r="E41" s="58" cm="1">
        <f t="array" ref="E41">INDEX(E43:E45,$C$22)</f>
        <v>0</v>
      </c>
      <c r="F41" s="58" cm="1">
        <f t="array" ref="F41">INDEX(F43:F45,$C$22)</f>
        <v>0</v>
      </c>
      <c r="G41" s="58" t="str" cm="1">
        <f t="array" ref="G41">INDEX(G43:G45,$C$22)</f>
        <v>hide</v>
      </c>
      <c r="H41" s="58" cm="1">
        <f t="array" ref="H41">INDEX(H43:H45,$C$22)</f>
        <v>0</v>
      </c>
    </row>
    <row r="43" spans="2:15">
      <c r="B43" s="57" t="s">
        <v>195</v>
      </c>
      <c r="C43" s="56"/>
      <c r="D43" s="56"/>
      <c r="E43" s="56"/>
      <c r="F43" s="56"/>
      <c r="G43" s="56"/>
      <c r="H43" s="56"/>
    </row>
    <row r="44" spans="2:15">
      <c r="B44" s="57" t="str">
        <f>N23</f>
        <v>Hide Some</v>
      </c>
      <c r="C44" s="56"/>
      <c r="D44" s="56" t="s">
        <v>194</v>
      </c>
      <c r="E44" s="56"/>
      <c r="F44" s="56"/>
      <c r="G44" s="56" t="s">
        <v>194</v>
      </c>
      <c r="H44" s="56"/>
    </row>
    <row r="45" spans="2:15">
      <c r="B45" s="57" t="str">
        <f>O23</f>
        <v>Hide Most</v>
      </c>
      <c r="C45" s="56"/>
      <c r="D45" s="56" t="s">
        <v>194</v>
      </c>
      <c r="E45" s="56" t="s">
        <v>194</v>
      </c>
      <c r="F45" s="56"/>
      <c r="G45" s="56" t="s">
        <v>194</v>
      </c>
      <c r="H45" s="56"/>
    </row>
    <row r="48" spans="2:15">
      <c r="B48" t="s">
        <v>193</v>
      </c>
    </row>
    <row r="49" spans="2:2">
      <c r="B49" t="s">
        <v>192</v>
      </c>
    </row>
  </sheetData>
  <mergeCells count="4">
    <mergeCell ref="M22:O22"/>
    <mergeCell ref="B4:O4"/>
    <mergeCell ref="B5:O5"/>
    <mergeCell ref="B6:O6"/>
  </mergeCells>
  <dataValidations count="1">
    <dataValidation type="list" allowBlank="1" showInputMessage="1" showErrorMessage="1" sqref="C21" xr:uid="{85D97F23-C1FB-4F38-8C84-25A0299A5164}">
      <formula1>$M$23:$O$23</formula1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6B11-0814-467F-B03A-B67BAE3159C6}">
  <sheetPr codeName="Sheet7">
    <tabColor theme="5"/>
  </sheetPr>
  <dimension ref="A1:J12"/>
  <sheetViews>
    <sheetView showGridLines="0" workbookViewId="0"/>
  </sheetViews>
  <sheetFormatPr defaultColWidth="10.140625" defaultRowHeight="15"/>
  <cols>
    <col min="1" max="1" width="2.7109375" customWidth="1"/>
    <col min="2" max="2" width="16.140625" customWidth="1"/>
    <col min="3" max="3" width="29.85546875" customWidth="1"/>
    <col min="5" max="5" width="19.42578125" customWidth="1"/>
    <col min="6" max="6" width="11.5703125" customWidth="1"/>
  </cols>
  <sheetData>
    <row r="1" spans="1:10" ht="31.5">
      <c r="A1" s="234" t="s">
        <v>603</v>
      </c>
    </row>
    <row r="2" spans="1:10">
      <c r="B2" s="472" t="s">
        <v>152</v>
      </c>
      <c r="C2" s="472"/>
      <c r="D2" s="472"/>
      <c r="E2" s="472"/>
      <c r="F2" s="472"/>
      <c r="G2" s="472"/>
      <c r="H2" s="472"/>
      <c r="I2" s="472"/>
      <c r="J2" s="472"/>
    </row>
    <row r="3" spans="1:10" ht="15.75" thickBot="1"/>
    <row r="4" spans="1:10" ht="16.5" thickBot="1">
      <c r="G4" s="602" t="s">
        <v>151</v>
      </c>
      <c r="H4" s="602"/>
      <c r="I4" s="602"/>
      <c r="J4" s="602"/>
    </row>
    <row r="5" spans="1:10" ht="16.5" thickBot="1">
      <c r="B5" s="52" t="s">
        <v>150</v>
      </c>
      <c r="C5" s="52" t="s">
        <v>149</v>
      </c>
      <c r="D5" s="52" t="s">
        <v>148</v>
      </c>
      <c r="E5" s="52" t="s">
        <v>147</v>
      </c>
      <c r="G5" s="52" t="s">
        <v>146</v>
      </c>
      <c r="H5" s="52" t="s">
        <v>145</v>
      </c>
      <c r="I5" s="52" t="s">
        <v>144</v>
      </c>
      <c r="J5" s="52" t="s">
        <v>143</v>
      </c>
    </row>
    <row r="6" spans="1:10" ht="21" customHeight="1" thickBot="1">
      <c r="B6" s="230" t="s">
        <v>142</v>
      </c>
      <c r="C6" s="231"/>
      <c r="D6" s="232">
        <f>(J6-G6)/G6</f>
        <v>0.25</v>
      </c>
      <c r="E6" s="604"/>
      <c r="G6">
        <v>100</v>
      </c>
      <c r="H6">
        <v>110</v>
      </c>
      <c r="I6">
        <v>120</v>
      </c>
      <c r="J6">
        <v>125</v>
      </c>
    </row>
    <row r="7" spans="1:10" ht="21" customHeight="1" thickBot="1">
      <c r="B7" s="230" t="s">
        <v>141</v>
      </c>
      <c r="C7" s="231"/>
      <c r="D7" s="232">
        <f>(J7-G7)/G7</f>
        <v>-0.2</v>
      </c>
      <c r="E7" s="605"/>
      <c r="G7">
        <v>110</v>
      </c>
      <c r="H7">
        <v>90</v>
      </c>
      <c r="I7">
        <v>85</v>
      </c>
      <c r="J7">
        <v>88</v>
      </c>
    </row>
    <row r="8" spans="1:10" ht="21" customHeight="1" thickBot="1">
      <c r="B8" s="230" t="s">
        <v>140</v>
      </c>
      <c r="C8" s="231"/>
      <c r="D8" s="232">
        <f>(J8-G8)/G8</f>
        <v>0.5</v>
      </c>
      <c r="E8" s="605"/>
      <c r="G8">
        <v>66</v>
      </c>
      <c r="H8">
        <v>77</v>
      </c>
      <c r="I8">
        <v>88</v>
      </c>
      <c r="J8">
        <v>99</v>
      </c>
    </row>
    <row r="9" spans="1:10" ht="21" customHeight="1" thickBot="1">
      <c r="B9" s="230" t="s">
        <v>139</v>
      </c>
      <c r="C9" s="231"/>
      <c r="D9" s="232">
        <f>(J9-G9)/G9</f>
        <v>-0.01</v>
      </c>
      <c r="E9" s="605"/>
      <c r="G9">
        <v>100</v>
      </c>
      <c r="H9">
        <v>101</v>
      </c>
      <c r="I9">
        <v>98</v>
      </c>
      <c r="J9">
        <v>99</v>
      </c>
    </row>
    <row r="10" spans="1:10" ht="21" customHeight="1" thickBot="1">
      <c r="B10" s="230" t="s">
        <v>138</v>
      </c>
      <c r="C10" s="231"/>
      <c r="D10" s="233">
        <f>(J10-G10)/G10</f>
        <v>9.3085106382978719E-2</v>
      </c>
      <c r="E10" s="606"/>
      <c r="G10">
        <f>SUM(G6:G9)</f>
        <v>376</v>
      </c>
      <c r="H10">
        <f>SUM(H6:H9)</f>
        <v>378</v>
      </c>
      <c r="I10">
        <f>SUM(I6:I9)</f>
        <v>391</v>
      </c>
      <c r="J10">
        <f>SUM(J6:J9)</f>
        <v>411</v>
      </c>
    </row>
    <row r="11" spans="1:10" ht="6" customHeight="1"/>
    <row r="12" spans="1:10">
      <c r="B12" s="49" t="s">
        <v>927</v>
      </c>
    </row>
  </sheetData>
  <mergeCells count="3">
    <mergeCell ref="B2:J2"/>
    <mergeCell ref="G4:J4"/>
    <mergeCell ref="E6:E10"/>
  </mergeCells>
  <conditionalFormatting sqref="D6:D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minAxisType="group" maxAxisType="group" xr2:uid="{55200C62-1A58-4ED1-BF81-34437F5E7BEF}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theme="9" tint="-0.249977111117893"/>
          <x14:colorLow rgb="FFFF0000"/>
          <x14:sparklines>
            <x14:sparkline>
              <xm:f>'Sales Dashboard'!G10:J10</xm:f>
              <xm:sqref>C10</xm:sqref>
            </x14:sparkline>
          </x14:sparklines>
        </x14:sparklineGroup>
        <x14:sparklineGroup manualMax="0" manualMin="0" displayEmptyCellsAs="gap" markers="1" high="1" low="1" minAxisType="group" maxAxisType="group" xr2:uid="{4FD6A8C6-02A3-4D87-826F-1DC258B49894}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theme="9" tint="-0.249977111117893"/>
          <x14:colorLow rgb="FFFF0000"/>
          <x14:sparklines>
            <x14:sparkline>
              <xm:f>'Sales Dashboard'!G6:J6</xm:f>
              <xm:sqref>C6</xm:sqref>
            </x14:sparkline>
            <x14:sparkline>
              <xm:f>'Sales Dashboard'!G7:J7</xm:f>
              <xm:sqref>C7</xm:sqref>
            </x14:sparkline>
            <x14:sparkline>
              <xm:f>'Sales Dashboard'!G8:J8</xm:f>
              <xm:sqref>C8</xm:sqref>
            </x14:sparkline>
            <x14:sparkline>
              <xm:f>'Sales Dashboard'!G9:J9</xm:f>
              <xm:sqref>C9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E6EC-2DD2-40E2-9720-3DE9156E42C0}">
  <sheetPr codeName="Sheet26">
    <tabColor theme="5"/>
  </sheetPr>
  <dimension ref="A1:L23"/>
  <sheetViews>
    <sheetView zoomScaleNormal="100" workbookViewId="0"/>
  </sheetViews>
  <sheetFormatPr defaultRowHeight="15"/>
  <cols>
    <col min="1" max="1" width="3" customWidth="1"/>
    <col min="2" max="2" width="12.5703125" customWidth="1"/>
    <col min="3" max="3" width="8.85546875" customWidth="1"/>
    <col min="12" max="12" width="12.5703125" customWidth="1"/>
    <col min="13" max="13" width="8.140625" customWidth="1"/>
  </cols>
  <sheetData>
    <row r="1" spans="1:12" ht="31.5">
      <c r="A1" s="70" t="s">
        <v>590</v>
      </c>
    </row>
    <row r="3" spans="1:12" ht="49.9" customHeight="1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49.9" customHeight="1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ht="49.9" customHeight="1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2" ht="49.9" customHeight="1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2" ht="49.9" customHeight="1"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 ht="21.75" customHeight="1">
      <c r="B8" s="375" t="s">
        <v>589</v>
      </c>
    </row>
    <row r="9" spans="1:12" ht="21.6" customHeight="1"/>
    <row r="10" spans="1:12" ht="19.899999999999999" customHeight="1"/>
    <row r="11" spans="1:12" ht="19.899999999999999" customHeight="1"/>
    <row r="12" spans="1:12" ht="19.5">
      <c r="A12" s="68" t="s">
        <v>601</v>
      </c>
    </row>
    <row r="13" spans="1:12" ht="19.899999999999999" customHeight="1"/>
    <row r="14" spans="1:12" ht="15.75" thickBot="1">
      <c r="B14" t="s">
        <v>602</v>
      </c>
    </row>
    <row r="15" spans="1:12" ht="15.75" thickBot="1">
      <c r="B15" t="s">
        <v>594</v>
      </c>
      <c r="C15" s="228">
        <v>86</v>
      </c>
    </row>
    <row r="16" spans="1:12" ht="15.75" thickBot="1">
      <c r="B16" t="s">
        <v>595</v>
      </c>
      <c r="C16" s="228">
        <v>103</v>
      </c>
    </row>
    <row r="17" spans="2:6" ht="19.899999999999999" customHeight="1">
      <c r="B17" t="s">
        <v>591</v>
      </c>
      <c r="E17" s="283">
        <f>C15+C16</f>
        <v>189</v>
      </c>
    </row>
    <row r="18" spans="2:6" ht="19.899999999999999" customHeight="1" thickBot="1">
      <c r="B18" t="s">
        <v>592</v>
      </c>
      <c r="E18" s="282">
        <v>178</v>
      </c>
    </row>
    <row r="19" spans="2:6" ht="19.899999999999999" customHeight="1" thickBot="1">
      <c r="B19" t="s">
        <v>593</v>
      </c>
      <c r="E19" s="229">
        <v>6.1797752808988762E-2</v>
      </c>
      <c r="F19" t="s">
        <v>600</v>
      </c>
    </row>
    <row r="20" spans="2:6" ht="15.75" thickBot="1">
      <c r="B20" t="s">
        <v>596</v>
      </c>
      <c r="E20" s="228">
        <v>42</v>
      </c>
    </row>
    <row r="21" spans="2:6" ht="15.75" thickBot="1">
      <c r="B21" t="s">
        <v>597</v>
      </c>
      <c r="E21" s="228">
        <v>111</v>
      </c>
    </row>
    <row r="22" spans="2:6" ht="15.75" thickBot="1">
      <c r="B22" t="s">
        <v>598</v>
      </c>
      <c r="E22" s="228">
        <v>24</v>
      </c>
    </row>
    <row r="23" spans="2:6" ht="15.75" thickBot="1">
      <c r="B23" t="s">
        <v>599</v>
      </c>
      <c r="E23" s="228">
        <v>13</v>
      </c>
    </row>
  </sheetData>
  <pageMargins left="0" right="0" top="0" bottom="0" header="0" footer="0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4CFB8EE2730499D5FB67EC9F8C370" ma:contentTypeVersion="11" ma:contentTypeDescription="Create a new document." ma:contentTypeScope="" ma:versionID="c19156349d7f720e4f07b9120c304a43">
  <xsd:schema xmlns:xsd="http://www.w3.org/2001/XMLSchema" xmlns:xs="http://www.w3.org/2001/XMLSchema" xmlns:p="http://schemas.microsoft.com/office/2006/metadata/properties" xmlns:ns2="7726ac31-f3e7-4b8c-8a8c-eb637c48d917" xmlns:ns3="fc55d401-0dfe-4961-b762-8e7ad992ca9a" targetNamespace="http://schemas.microsoft.com/office/2006/metadata/properties" ma:root="true" ma:fieldsID="ecb693baf6a72fa2564f80709e765756" ns2:_="" ns3:_="">
    <xsd:import namespace="7726ac31-f3e7-4b8c-8a8c-eb637c48d917"/>
    <xsd:import namespace="fc55d401-0dfe-4961-b762-8e7ad992c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6ac31-f3e7-4b8c-8a8c-eb637c48d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e276-8d20-40ae-8470-a2aa42a0d7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5d401-0dfe-4961-b762-8e7ad992ca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cf5d68-8e8f-455f-a63a-78530c69db4f}" ma:internalName="TaxCatchAll" ma:showField="CatchAllData" ma:web="fc55d401-0dfe-4961-b762-8e7ad992c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26ac31-f3e7-4b8c-8a8c-eb637c48d917">
      <Terms xmlns="http://schemas.microsoft.com/office/infopath/2007/PartnerControls"/>
    </lcf76f155ced4ddcb4097134ff3c332f>
    <TaxCatchAll xmlns="fc55d401-0dfe-4961-b762-8e7ad992ca9a" xsi:nil="true"/>
  </documentManagement>
</p:properties>
</file>

<file path=customXml/itemProps1.xml><?xml version="1.0" encoding="utf-8"?>
<ds:datastoreItem xmlns:ds="http://schemas.openxmlformats.org/officeDocument/2006/customXml" ds:itemID="{CD1D1DCF-E399-4370-ADCE-54261B3441EE}"/>
</file>

<file path=customXml/itemProps2.xml><?xml version="1.0" encoding="utf-8"?>
<ds:datastoreItem xmlns:ds="http://schemas.openxmlformats.org/officeDocument/2006/customXml" ds:itemID="{C9D5A28B-271F-4A6E-BFB5-2969EBF1F21C}"/>
</file>

<file path=customXml/itemProps3.xml><?xml version="1.0" encoding="utf-8"?>
<ds:datastoreItem xmlns:ds="http://schemas.openxmlformats.org/officeDocument/2006/customXml" ds:itemID="{F45B790A-665A-4458-8BD1-23353AA2B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Start</vt:lpstr>
      <vt:lpstr>Compare</vt:lpstr>
      <vt:lpstr>Inc</vt:lpstr>
      <vt:lpstr>Inc2</vt:lpstr>
      <vt:lpstr>BS</vt:lpstr>
      <vt:lpstr>CF</vt:lpstr>
      <vt:lpstr>Basic</vt:lpstr>
      <vt:lpstr>Invoice</vt:lpstr>
      <vt:lpstr>Sales</vt:lpstr>
      <vt:lpstr>Forecast</vt:lpstr>
      <vt:lpstr>Lists</vt:lpstr>
      <vt:lpstr>TCO</vt:lpstr>
      <vt:lpstr>Benefits</vt:lpstr>
      <vt:lpstr>ROI</vt:lpstr>
      <vt:lpstr>RE</vt:lpstr>
      <vt:lpstr>DCF</vt:lpstr>
      <vt:lpstr>Pivot</vt:lpstr>
      <vt:lpstr>Auto-Hide</vt:lpstr>
      <vt:lpstr>Sales Dashboard</vt:lpstr>
      <vt:lpstr>HR Dashboard</vt:lpstr>
      <vt:lpstr>HideCol_RealEstate</vt:lpstr>
      <vt:lpstr>HideCol_SheetA</vt:lpstr>
      <vt:lpstr>HideRow_SheetA</vt:lpstr>
      <vt:lpstr>r_AIBenefitSummary</vt:lpstr>
      <vt:lpstr>r_AutoHideExample</vt:lpstr>
      <vt:lpstr>r_AutoHideExampleFlex</vt:lpstr>
      <vt:lpstr>r_BalanceSheet</vt:lpstr>
      <vt:lpstr>r_BasicFinancials</vt:lpstr>
      <vt:lpstr>r_CashFlowQtrly</vt:lpstr>
      <vt:lpstr>r_CloudTCO</vt:lpstr>
      <vt:lpstr>r_CostBenChartData</vt:lpstr>
      <vt:lpstr>r_CostBenSummary</vt:lpstr>
      <vt:lpstr>r_CostBenSumText</vt:lpstr>
      <vt:lpstr>r_DCF_CalculationsByYear</vt:lpstr>
      <vt:lpstr>r_DCF_Results</vt:lpstr>
      <vt:lpstr>r_DueDate</vt:lpstr>
      <vt:lpstr>r_EmpHeadcountAnalysis</vt:lpstr>
      <vt:lpstr>r_FlexHTML</vt:lpstr>
      <vt:lpstr>r_Income_Dest</vt:lpstr>
      <vt:lpstr>r_Income4</vt:lpstr>
      <vt:lpstr>r_IncomeComparison</vt:lpstr>
      <vt:lpstr>r_IncomeStatement1</vt:lpstr>
      <vt:lpstr>r_IncomeStatement2</vt:lpstr>
      <vt:lpstr>r_InvoiceAddress</vt:lpstr>
      <vt:lpstr>r_InvoiceDate</vt:lpstr>
      <vt:lpstr>r_InvoiceNumber</vt:lpstr>
      <vt:lpstr>r_InvoiceTable</vt:lpstr>
      <vt:lpstr>r_InvoiceTo</vt:lpstr>
      <vt:lpstr>r_MarketValueSummary</vt:lpstr>
      <vt:lpstr>r_PricingTable</vt:lpstr>
      <vt:lpstr>r_ProjectCostsSummary</vt:lpstr>
      <vt:lpstr>r_RealEstateCompsGrid</vt:lpstr>
      <vt:lpstr>r_SalesDashboard_Img</vt:lpstr>
      <vt:lpstr>r_SalesForecastByMonth</vt:lpstr>
      <vt:lpstr>r_TableComparison</vt:lpstr>
      <vt:lpstr>r_TCO_Configuration</vt:lpstr>
      <vt:lpstr>r_TcoSummaryText</vt:lpstr>
      <vt:lpstr>r_TitlesInColumns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Hall</dc:creator>
  <cp:lastModifiedBy>Andrew Hall</cp:lastModifiedBy>
  <dcterms:created xsi:type="dcterms:W3CDTF">2015-06-05T18:17:20Z</dcterms:created>
  <dcterms:modified xsi:type="dcterms:W3CDTF">2025-05-03T18:53:08Z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0x0101005154CFB8EE2730499D5FB67EC9F8C370</vt:lpwstr>
  </property>
</Properties>
</file>