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olors7.xml" ContentType="application/vnd.ms-office.chartcolorstyle+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theme/themeOverride1.xml" ContentType="application/vnd.openxmlformats-officedocument.themeOverrid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webextensions/taskpanes.xml" ContentType="application/vnd.ms-office.webextensiontaskpanes+xml"/>
  <Override PartName="/xl/webextensions/webextension1.xml" ContentType="application/vnd.ms-office.webextensi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showInkAnnotation="0" codeName="ThisWorkbook" autoCompressPictures="0"/>
  <mc:AlternateContent xmlns:mc="http://schemas.openxmlformats.org/markup-compatibility/2006">
    <mc:Choice Requires="x15">
      <x15ac:absPath xmlns:x15ac="http://schemas.microsoft.com/office/spreadsheetml/2010/11/ac" url="https://aphcr-my.sharepoint.com/personal/andrew_hall_analysisplace_com/Documents/Add-Ins/Files/Templates-Public/ROI Calculator and Business Case Toolkit/"/>
    </mc:Choice>
  </mc:AlternateContent>
  <xr:revisionPtr revIDLastSave="0" documentId="8_{E042757F-10DC-4175-8FBA-718378440EC9}" xr6:coauthVersionLast="47" xr6:coauthVersionMax="47" xr10:uidLastSave="{00000000-0000-0000-0000-000000000000}"/>
  <bookViews>
    <workbookView xWindow="-120" yWindow="-120" windowWidth="38640" windowHeight="21120" tabRatio="658" xr2:uid="{00000000-000D-0000-FFFF-FFFF00000000}"/>
  </bookViews>
  <sheets>
    <sheet name="Start" sheetId="19" r:id="rId1"/>
    <sheet name="Costs" sheetId="21" r:id="rId2"/>
    <sheet name="Benefits" sheetId="20" r:id="rId3"/>
    <sheet name="ROI" sheetId="23" r:id="rId4"/>
    <sheet name="About" sheetId="24" r:id="rId5"/>
    <sheet name="Rpt Cntnt" sheetId="9" r:id="rId6"/>
  </sheets>
  <definedNames>
    <definedName name="_crpt_BenPie" hidden="1">'Rpt Cntnt'!#REF!</definedName>
    <definedName name="_crpt_chCostVBen" hidden="1">'Rpt Cntnt'!#REF!</definedName>
    <definedName name="_crpt_CostPie" hidden="1">'Rpt Cntnt'!#REF!</definedName>
    <definedName name="_dConfig4" hidden="1">#REF!</definedName>
    <definedName name="_dEWA" hidden="1">#REF!,#REF!</definedName>
    <definedName name="_dIndex" hidden="1">#REF!,#REF!</definedName>
    <definedName name="_dReport" hidden="1">#REF!,#REF!,#REF!,#REF!,#REF!</definedName>
    <definedName name="_m105" hidden="1">Start!$D$16</definedName>
    <definedName name="_m106" hidden="1">Start!$D$19</definedName>
    <definedName name="_m107" hidden="1">Start!$D$23</definedName>
    <definedName name="_m108" hidden="1">Costs!$C$7</definedName>
    <definedName name="_m109" hidden="1">Costs!$C$8</definedName>
    <definedName name="_m110" hidden="1">Costs!$C$9</definedName>
    <definedName name="_m111" hidden="1">Costs!$C$10</definedName>
    <definedName name="_m112" hidden="1">Costs!$C$17</definedName>
    <definedName name="_m113" hidden="1">Costs!$D$17</definedName>
    <definedName name="_m114" hidden="1">Costs!$E$17</definedName>
    <definedName name="_m115" hidden="1">Costs!$F$17</definedName>
    <definedName name="_m116" hidden="1">Costs!$H$17</definedName>
    <definedName name="_m117" hidden="1">Costs!$I$17</definedName>
    <definedName name="_m118" hidden="1">Costs!$J$17</definedName>
    <definedName name="_m119" hidden="1">Costs!$C$18</definedName>
    <definedName name="_m120" hidden="1">Costs!$D$18</definedName>
    <definedName name="_m121" hidden="1">Costs!$E$18</definedName>
    <definedName name="_m122" hidden="1">Costs!$F$18</definedName>
    <definedName name="_m123" hidden="1">Costs!$H$18</definedName>
    <definedName name="_m124" hidden="1">Costs!$I$18</definedName>
    <definedName name="_m125" hidden="1">Costs!$J$18</definedName>
    <definedName name="_m126" hidden="1">Costs!$C$19</definedName>
    <definedName name="_m127" hidden="1">Costs!$D$19</definedName>
    <definedName name="_m128" hidden="1">Costs!$E$19</definedName>
    <definedName name="_m129" hidden="1">Costs!$F$19</definedName>
    <definedName name="_m130" hidden="1">Costs!$H$19</definedName>
    <definedName name="_m131" hidden="1">Costs!$I$19</definedName>
    <definedName name="_m132" hidden="1">Costs!$J$19</definedName>
    <definedName name="_m133" hidden="1">Costs!$C$20</definedName>
    <definedName name="_m134" hidden="1">Costs!$D$20</definedName>
    <definedName name="_m135" hidden="1">Costs!$E$20</definedName>
    <definedName name="_m136" hidden="1">Costs!$F$20</definedName>
    <definedName name="_m137" hidden="1">Costs!$H$20</definedName>
    <definedName name="_m138" hidden="1">Costs!$I$20</definedName>
    <definedName name="_m139" hidden="1">Costs!$J$20</definedName>
    <definedName name="_m140" hidden="1">Costs!$C$21</definedName>
    <definedName name="_m141" hidden="1">Costs!$D$21</definedName>
    <definedName name="_m142" hidden="1">Costs!$E$21</definedName>
    <definedName name="_m143" hidden="1">Costs!$F$21</definedName>
    <definedName name="_m144" hidden="1">Costs!$H$21</definedName>
    <definedName name="_m145" hidden="1">Costs!$I$21</definedName>
    <definedName name="_m146" hidden="1">Costs!$J$21</definedName>
    <definedName name="_m147" hidden="1">Costs!$C$22</definedName>
    <definedName name="_m148" hidden="1">Costs!$D$22</definedName>
    <definedName name="_m149" hidden="1">Costs!$E$22</definedName>
    <definedName name="_m150" hidden="1">Costs!$F$22</definedName>
    <definedName name="_m151" hidden="1">Costs!$H$22</definedName>
    <definedName name="_m152" hidden="1">Costs!$I$22</definedName>
    <definedName name="_m153" hidden="1">Costs!$J$22</definedName>
    <definedName name="_m154" hidden="1">Costs!$C$23</definedName>
    <definedName name="_m155" hidden="1">Costs!$D$23</definedName>
    <definedName name="_m156" hidden="1">Costs!$E$23</definedName>
    <definedName name="_m157" hidden="1">Costs!$F$23</definedName>
    <definedName name="_m158" hidden="1">Costs!$H$23</definedName>
    <definedName name="_m159" hidden="1">Costs!$I$23</definedName>
    <definedName name="_m160" hidden="1">Costs!$J$23</definedName>
    <definedName name="_m161" hidden="1">Costs!$C$26</definedName>
    <definedName name="_m162" hidden="1">Costs!$C$32</definedName>
    <definedName name="_m163" hidden="1">Costs!$D$32</definedName>
    <definedName name="_m164" hidden="1">Costs!$E$32</definedName>
    <definedName name="_m165" hidden="1">Costs!$F$32</definedName>
    <definedName name="_m166" hidden="1">Costs!$H$32</definedName>
    <definedName name="_m167" hidden="1">Costs!$I$32</definedName>
    <definedName name="_m168" hidden="1">Costs!$J$32</definedName>
    <definedName name="_m169" hidden="1">Costs!$C$33</definedName>
    <definedName name="_m170" hidden="1">Costs!$D$33</definedName>
    <definedName name="_m171" hidden="1">Costs!$E$33</definedName>
    <definedName name="_m172" hidden="1">Costs!$F$33</definedName>
    <definedName name="_m173" hidden="1">Costs!$H$33</definedName>
    <definedName name="_m174" hidden="1">Costs!$I$33</definedName>
    <definedName name="_m175" hidden="1">Costs!$J$33</definedName>
    <definedName name="_m176" hidden="1">Costs!$C$34</definedName>
    <definedName name="_m177" hidden="1">Costs!$D$34</definedName>
    <definedName name="_m178" hidden="1">Costs!$E$34</definedName>
    <definedName name="_m179" hidden="1">Costs!$F$34</definedName>
    <definedName name="_m180" hidden="1">Costs!$H$34</definedName>
    <definedName name="_m181" hidden="1">Costs!$I$34</definedName>
    <definedName name="_m182" hidden="1">Costs!$J$34</definedName>
    <definedName name="_m183" hidden="1">Costs!$C$35</definedName>
    <definedName name="_m184" hidden="1">Costs!$D$35</definedName>
    <definedName name="_m185" hidden="1">Costs!$E$35</definedName>
    <definedName name="_m186" hidden="1">Costs!$F$35</definedName>
    <definedName name="_m187" hidden="1">Costs!$H$35</definedName>
    <definedName name="_m188" hidden="1">Costs!$I$35</definedName>
    <definedName name="_m189" hidden="1">Costs!$J$35</definedName>
    <definedName name="_m190" hidden="1">Costs!$C$36</definedName>
    <definedName name="_m191" hidden="1">Costs!$D$36</definedName>
    <definedName name="_m192" hidden="1">Costs!$E$36</definedName>
    <definedName name="_m193" hidden="1">Costs!$F$36</definedName>
    <definedName name="_m194" hidden="1">Costs!$H$36</definedName>
    <definedName name="_m195" hidden="1">Costs!$I$36</definedName>
    <definedName name="_m196" hidden="1">Costs!$J$36</definedName>
    <definedName name="_m197" hidden="1">Costs!$C$39</definedName>
    <definedName name="_m198" hidden="1">Costs!$C$45</definedName>
    <definedName name="_m199" hidden="1">Costs!$D$45</definedName>
    <definedName name="_m200" hidden="1">Costs!$E$45</definedName>
    <definedName name="_m201" hidden="1">Costs!$F$45</definedName>
    <definedName name="_m202" hidden="1">Costs!$H$45</definedName>
    <definedName name="_m203" hidden="1">Costs!$I$45</definedName>
    <definedName name="_m204" hidden="1">Costs!$J$45</definedName>
    <definedName name="_m205" hidden="1">Costs!$C$46</definedName>
    <definedName name="_m206" hidden="1">Costs!$D$46</definedName>
    <definedName name="_m207" hidden="1">Costs!$E$46</definedName>
    <definedName name="_m208" hidden="1">Costs!$F$46</definedName>
    <definedName name="_m209" hidden="1">Costs!$H$46</definedName>
    <definedName name="_m210" hidden="1">Costs!$I$46</definedName>
    <definedName name="_m211" hidden="1">Costs!$J$46</definedName>
    <definedName name="_m212" hidden="1">Costs!$C$47</definedName>
    <definedName name="_m213" hidden="1">Costs!$D$47</definedName>
    <definedName name="_m214" hidden="1">Costs!$E$47</definedName>
    <definedName name="_m215" hidden="1">Costs!$F$47</definedName>
    <definedName name="_m216" hidden="1">Costs!$H$47</definedName>
    <definedName name="_m217" hidden="1">Costs!$I$47</definedName>
    <definedName name="_m218" hidden="1">Costs!$J$47</definedName>
    <definedName name="_m219" hidden="1">Costs!$C$48</definedName>
    <definedName name="_m220" hidden="1">Costs!$D$48</definedName>
    <definedName name="_m221" hidden="1">Costs!$E$48</definedName>
    <definedName name="_m222" hidden="1">Costs!$F$48</definedName>
    <definedName name="_m223" hidden="1">Costs!$H$48</definedName>
    <definedName name="_m224" hidden="1">Costs!$I$48</definedName>
    <definedName name="_m225" hidden="1">Costs!$J$48</definedName>
    <definedName name="_m226" hidden="1">Costs!$C$49</definedName>
    <definedName name="_m227" hidden="1">Costs!$D$49</definedName>
    <definedName name="_m228" hidden="1">Costs!$E$49</definedName>
    <definedName name="_m229" hidden="1">Costs!$F$49</definedName>
    <definedName name="_m230" hidden="1">Costs!$H$49</definedName>
    <definedName name="_m231" hidden="1">Costs!$I$49</definedName>
    <definedName name="_m232" hidden="1">Costs!$J$49</definedName>
    <definedName name="_m233" hidden="1">Costs!$C$50</definedName>
    <definedName name="_m234" hidden="1">Costs!$D$50</definedName>
    <definedName name="_m235" hidden="1">Costs!$E$50</definedName>
    <definedName name="_m236" hidden="1">Costs!$F$50</definedName>
    <definedName name="_m237" hidden="1">Costs!$H$50</definedName>
    <definedName name="_m238" hidden="1">Costs!$I$50</definedName>
    <definedName name="_m239" hidden="1">Costs!$J$50</definedName>
    <definedName name="_m240" hidden="1">Costs!$C$51</definedName>
    <definedName name="_m241" hidden="1">Costs!$D$51</definedName>
    <definedName name="_m242" hidden="1">Costs!$E$51</definedName>
    <definedName name="_m243" hidden="1">Costs!$F$51</definedName>
    <definedName name="_m244" hidden="1">Costs!$H$51</definedName>
    <definedName name="_m245" hidden="1">Costs!$I$51</definedName>
    <definedName name="_m246" hidden="1">Costs!$J$51</definedName>
    <definedName name="_m247" hidden="1">Costs!$C$54</definedName>
    <definedName name="_m248" hidden="1">Costs!$C$60</definedName>
    <definedName name="_m249" hidden="1">Costs!$D$60</definedName>
    <definedName name="_m250" hidden="1">Costs!$E$60</definedName>
    <definedName name="_m251" hidden="1">Costs!$F$60</definedName>
    <definedName name="_m252" hidden="1">Costs!$H$60</definedName>
    <definedName name="_m253" hidden="1">Costs!$I$60</definedName>
    <definedName name="_m254" hidden="1">Costs!$J$60</definedName>
    <definedName name="_m255" hidden="1">Costs!$C$61</definedName>
    <definedName name="_m256" hidden="1">Costs!$D$61</definedName>
    <definedName name="_m257" hidden="1">Costs!$E$61</definedName>
    <definedName name="_m258" hidden="1">Costs!$F$61</definedName>
    <definedName name="_m259" hidden="1">Costs!$H$61</definedName>
    <definedName name="_m260" hidden="1">Costs!$I$61</definedName>
    <definedName name="_m261" hidden="1">Costs!$J$61</definedName>
    <definedName name="_m262" hidden="1">Costs!$C$62</definedName>
    <definedName name="_m263" hidden="1">Costs!$D$62</definedName>
    <definedName name="_m264" hidden="1">Costs!$E$62</definedName>
    <definedName name="_m265" hidden="1">Costs!$F$62</definedName>
    <definedName name="_m266" hidden="1">Costs!$H$62</definedName>
    <definedName name="_m267" hidden="1">Costs!$I$62</definedName>
    <definedName name="_m268" hidden="1">Costs!$J$62</definedName>
    <definedName name="_m269" hidden="1">Costs!$C$63</definedName>
    <definedName name="_m270" hidden="1">Costs!$D$63</definedName>
    <definedName name="_m271" hidden="1">Costs!$E$63</definedName>
    <definedName name="_m272" hidden="1">Costs!$F$63</definedName>
    <definedName name="_m273" hidden="1">Costs!$H$63</definedName>
    <definedName name="_m274" hidden="1">Costs!$I$63</definedName>
    <definedName name="_m275" hidden="1">Costs!$J$63</definedName>
    <definedName name="_m276" hidden="1">Costs!$C$64</definedName>
    <definedName name="_m277" hidden="1">Costs!$D$64</definedName>
    <definedName name="_m278" hidden="1">Costs!$E$64</definedName>
    <definedName name="_m279" hidden="1">Costs!$F$64</definedName>
    <definedName name="_m280" hidden="1">Costs!$H$64</definedName>
    <definedName name="_m281" hidden="1">Costs!$I$64</definedName>
    <definedName name="_m282" hidden="1">Costs!$J$64</definedName>
    <definedName name="_m283" hidden="1">Costs!$C$67</definedName>
    <definedName name="_m284" hidden="1">Benefits!$C$7</definedName>
    <definedName name="_m285" hidden="1">Benefits!$C$8</definedName>
    <definedName name="_m286" hidden="1">Benefits!$C$9</definedName>
    <definedName name="_m287" hidden="1">Benefits!$D$16</definedName>
    <definedName name="_m288" hidden="1">Benefits!$E$16</definedName>
    <definedName name="_m289" hidden="1">Benefits!$D$17</definedName>
    <definedName name="_m290" hidden="1">Benefits!$E$17</definedName>
    <definedName name="_m291" hidden="1">Benefits!$D$19</definedName>
    <definedName name="_m292" hidden="1">Benefits!$E$19</definedName>
    <definedName name="_m293" hidden="1">Benefits!$D$21</definedName>
    <definedName name="_m294" hidden="1">Benefits!$E$21</definedName>
    <definedName name="_m295" hidden="1">Benefits!$D$23</definedName>
    <definedName name="_m296" hidden="1">Benefits!$E$23</definedName>
    <definedName name="_m297" hidden="1">Benefits!$C$26</definedName>
    <definedName name="_m298" hidden="1">Benefits!$D$33</definedName>
    <definedName name="_m299" hidden="1">Benefits!$E$33</definedName>
    <definedName name="_m300" hidden="1">Benefits!$C$38</definedName>
    <definedName name="_m301" hidden="1">Benefits!$D$38</definedName>
    <definedName name="_m302" hidden="1">Benefits!$E$38</definedName>
    <definedName name="_m303" hidden="1">Benefits!$C$39</definedName>
    <definedName name="_m304" hidden="1">Benefits!$D$39</definedName>
    <definedName name="_m305" hidden="1">Benefits!$E$39</definedName>
    <definedName name="_m306" hidden="1">Benefits!$C$40</definedName>
    <definedName name="_m307" hidden="1">Benefits!$D$40</definedName>
    <definedName name="_m308" hidden="1">Benefits!$E$40</definedName>
    <definedName name="_m309" hidden="1">Benefits!$C$41</definedName>
    <definedName name="_m310" hidden="1">Benefits!$D$41</definedName>
    <definedName name="_m311" hidden="1">Benefits!$E$41</definedName>
    <definedName name="_m312" hidden="1">Benefits!$C$42</definedName>
    <definedName name="_m313" hidden="1">Benefits!$D$42</definedName>
    <definedName name="_m314" hidden="1">Benefits!$E$42</definedName>
    <definedName name="_m315" hidden="1">Benefits!$C$43</definedName>
    <definedName name="_m316" hidden="1">Benefits!$D$43</definedName>
    <definedName name="_m317" hidden="1">Benefits!$E$43</definedName>
    <definedName name="_m318" hidden="1">Benefits!$C$50</definedName>
    <definedName name="_m319" hidden="1">Benefits!$D$50</definedName>
    <definedName name="_m320" hidden="1">Benefits!$E$50</definedName>
    <definedName name="_m321" hidden="1">Benefits!$F$50</definedName>
    <definedName name="_m322" hidden="1">Benefits!$H$50</definedName>
    <definedName name="_m323" hidden="1">Benefits!$I$50</definedName>
    <definedName name="_m324" hidden="1">Benefits!$C$51</definedName>
    <definedName name="_m325" hidden="1">Benefits!$D$51</definedName>
    <definedName name="_m326" hidden="1">Benefits!$E$51</definedName>
    <definedName name="_m327" hidden="1">Benefits!$F$51</definedName>
    <definedName name="_m328" hidden="1">Benefits!$H$51</definedName>
    <definedName name="_m329" hidden="1">Benefits!$I$51</definedName>
    <definedName name="_m330" hidden="1">Benefits!$C$52</definedName>
    <definedName name="_m331" hidden="1">Benefits!$D$52</definedName>
    <definedName name="_m332" hidden="1">Benefits!$E$52</definedName>
    <definedName name="_m333" hidden="1">Benefits!$F$52</definedName>
    <definedName name="_m334" hidden="1">Benefits!$H$52</definedName>
    <definedName name="_m335" hidden="1">Benefits!$I$52</definedName>
    <definedName name="_m336" hidden="1">Benefits!$C$53</definedName>
    <definedName name="_m337" hidden="1">Benefits!$D$53</definedName>
    <definedName name="_m338" hidden="1">Benefits!$E$53</definedName>
    <definedName name="_m339" hidden="1">Benefits!$F$53</definedName>
    <definedName name="_m340" hidden="1">Benefits!$H$53</definedName>
    <definedName name="_m341" hidden="1">Benefits!$I$53</definedName>
    <definedName name="_m342" hidden="1">Benefits!$C$54</definedName>
    <definedName name="_m343" hidden="1">Benefits!$D$54</definedName>
    <definedName name="_m344" hidden="1">Benefits!$E$54</definedName>
    <definedName name="_m345" hidden="1">Benefits!$F$54</definedName>
    <definedName name="_m346" hidden="1">Benefits!$H$54</definedName>
    <definedName name="_m347" hidden="1">Benefits!$I$54</definedName>
    <definedName name="_m348" hidden="1">Benefits!$C$55</definedName>
    <definedName name="_m349" hidden="1">Benefits!$D$55</definedName>
    <definedName name="_m350" hidden="1">Benefits!$E$55</definedName>
    <definedName name="_m351" hidden="1">Benefits!$F$55</definedName>
    <definedName name="_m352" hidden="1">Benefits!$H$55</definedName>
    <definedName name="_m353" hidden="1">Benefits!$I$55</definedName>
    <definedName name="_m354" hidden="1">Benefits!$C$58</definedName>
    <definedName name="_m355" hidden="1">Benefits!$C$64</definedName>
    <definedName name="_m356" hidden="1">Benefits!$D$64</definedName>
    <definedName name="_m357" hidden="1">Benefits!$E$64</definedName>
    <definedName name="_m358" hidden="1">Benefits!$H$64</definedName>
    <definedName name="_m359" hidden="1">Benefits!$J$64</definedName>
    <definedName name="_m360" hidden="1">Benefits!$C$65</definedName>
    <definedName name="_m361" hidden="1">Benefits!$D$65</definedName>
    <definedName name="_m362" hidden="1">Benefits!$E$65</definedName>
    <definedName name="_m363" hidden="1">Benefits!$H$65</definedName>
    <definedName name="_m364" hidden="1">Benefits!$J$65</definedName>
    <definedName name="_m365" hidden="1">Benefits!$C$66</definedName>
    <definedName name="_m366" hidden="1">Benefits!$D$66</definedName>
    <definedName name="_m367" hidden="1">Benefits!$E$66</definedName>
    <definedName name="_m368" hidden="1">Benefits!$H$66</definedName>
    <definedName name="_m369" hidden="1">Benefits!$J$66</definedName>
    <definedName name="_m370" hidden="1">Benefits!$C$67</definedName>
    <definedName name="_m371" hidden="1">Benefits!$D$67</definedName>
    <definedName name="_m372" hidden="1">Benefits!$E$67</definedName>
    <definedName name="_m373" hidden="1">Benefits!$H$67</definedName>
    <definedName name="_m374" hidden="1">Benefits!$J$67</definedName>
    <definedName name="_m375" hidden="1">Benefits!$C$68</definedName>
    <definedName name="_m376" hidden="1">Benefits!$D$68</definedName>
    <definedName name="_m377" hidden="1">Benefits!$E$68</definedName>
    <definedName name="_m378" hidden="1">Benefits!$H$68</definedName>
    <definedName name="_m379" hidden="1">Benefits!$J$68</definedName>
    <definedName name="_m380" hidden="1">Benefits!$C$69</definedName>
    <definedName name="_m381" hidden="1">Benefits!$D$69</definedName>
    <definedName name="_m382" hidden="1">Benefits!$E$69</definedName>
    <definedName name="_m383" hidden="1">Benefits!$H$69</definedName>
    <definedName name="_m384" hidden="1">Benefits!$J$69</definedName>
    <definedName name="_m385" hidden="1">Benefits!$C$70</definedName>
    <definedName name="_m386" hidden="1">Benefits!$D$70</definedName>
    <definedName name="_m387" hidden="1">Benefits!$E$70</definedName>
    <definedName name="_m388" hidden="1">Benefits!$H$70</definedName>
    <definedName name="_m389" hidden="1">Benefits!$J$70</definedName>
    <definedName name="_m390" hidden="1">Benefits!$C$73</definedName>
    <definedName name="_m391" hidden="1">ROI!$D$71</definedName>
    <definedName name="_m392" hidden="1">ROI!$D$72</definedName>
    <definedName name="_m393" hidden="1">ROI!$D$38</definedName>
    <definedName name="DiscountRate">ROI!$D$38</definedName>
    <definedName name="dRoiBen">OFFSET(ROI!$E$52,0,0,1+ROI!$D$47,1)</definedName>
    <definedName name="dRoiCosts">OFFSET(ROI!$D$52,0,0,1+ROI!$D$47,1)</definedName>
    <definedName name="dRoiCum">OFFSET(ROI!$F$52,0,0,1+ROI!$D$47,1)</definedName>
    <definedName name="dRoiYr">OFFSET(ROI!$C$52,0,0,1+ROI!$D$47,1)</definedName>
    <definedName name="DurationYrs">Start!$D$19</definedName>
    <definedName name="GrowthBenefits">ROI!$D$72</definedName>
    <definedName name="GrowthCosts">ROI!$D$71</definedName>
    <definedName name="r_InputCellBorderFormat" hidden="1">#REF!</definedName>
    <definedName name="r_InputCellTextColor_Defaults" hidden="1">#REF!</definedName>
    <definedName name="r_InputCellTextColor_EWA" hidden="1">#REF!</definedName>
    <definedName name="r_InputCellTextColor_Modified" hidden="1">#REF!</definedName>
    <definedName name="r_ManagedCellIndexCount" hidden="1">#REF!</definedName>
    <definedName name="r_ReportCount" hidden="1">#REF!</definedName>
    <definedName name="r_RestoreDefaultsOptionList" hidden="1">#REF!</definedName>
    <definedName name="r_UserChangedCellFormatMethod" hidden="1">#REF!</definedName>
    <definedName name="rpt_DatePrepared">'Rpt Cntnt'!$C$2</definedName>
    <definedName name="rpt_Investment">ROI!$F$8</definedName>
    <definedName name="rpt_NetBenefits">ROI!$F$10</definedName>
    <definedName name="rpt_ROI">ROI!$F$13</definedName>
    <definedName name="rpt_ROISumTable">ROI!$C$7:$F$10</definedName>
    <definedName name="rpt_tBenSum">ROI!$C$25:$F$29</definedName>
    <definedName name="rpt_tCostSum">ROI!$C$17:$F$22</definedName>
    <definedName name="rpt_VendorName">Start!$D$16</definedName>
    <definedName name="shBenefits">Benefits!$A$1</definedName>
    <definedName name="shCosts">Costs!$A$1</definedName>
    <definedName name="shROI">ROI!$A$1</definedName>
    <definedName name="shStart">Start!$A$1</definedName>
    <definedName name="tDur">ROI!$D$47</definedName>
    <definedName name="Users">Start!$D$23</definedName>
    <definedName name="VendorName">Start!$D$16</definedName>
    <definedName name="WACC">ROI!$D$38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9" l="1"/>
  <c r="F36" i="9"/>
  <c r="F35" i="9"/>
  <c r="F34" i="9"/>
  <c r="F21" i="9"/>
  <c r="F20" i="9"/>
  <c r="F19" i="9"/>
  <c r="F18" i="9"/>
  <c r="G6" i="9"/>
  <c r="D72" i="23"/>
  <c r="D71" i="23"/>
  <c r="D38" i="23"/>
  <c r="C73" i="20"/>
  <c r="J70" i="20"/>
  <c r="E70" i="20"/>
  <c r="D70" i="20"/>
  <c r="F70" i="20" s="1"/>
  <c r="C70" i="20"/>
  <c r="J69" i="20"/>
  <c r="E69" i="20"/>
  <c r="D69" i="20"/>
  <c r="F69" i="20" s="1"/>
  <c r="G69" i="20" s="1"/>
  <c r="I69" i="20" s="1"/>
  <c r="K69" i="20" s="1"/>
  <c r="C69" i="20"/>
  <c r="J68" i="20"/>
  <c r="E68" i="20"/>
  <c r="D68" i="20"/>
  <c r="F68" i="20" s="1"/>
  <c r="C68" i="20"/>
  <c r="J67" i="20"/>
  <c r="E67" i="20"/>
  <c r="D67" i="20"/>
  <c r="F67" i="20" s="1"/>
  <c r="C67" i="20"/>
  <c r="J66" i="20"/>
  <c r="E66" i="20"/>
  <c r="D66" i="20"/>
  <c r="F66" i="20" s="1"/>
  <c r="G66" i="20" s="1"/>
  <c r="I66" i="20" s="1"/>
  <c r="K66" i="20" s="1"/>
  <c r="C66" i="20"/>
  <c r="E65" i="20"/>
  <c r="D65" i="20"/>
  <c r="C65" i="20"/>
  <c r="E64" i="20"/>
  <c r="D64" i="20"/>
  <c r="C64" i="20"/>
  <c r="C58" i="20"/>
  <c r="I55" i="20"/>
  <c r="H55" i="20"/>
  <c r="C55" i="20"/>
  <c r="I54" i="20"/>
  <c r="K54" i="20" s="1"/>
  <c r="L54" i="20" s="1"/>
  <c r="H54" i="20"/>
  <c r="D54" i="20"/>
  <c r="C54" i="20"/>
  <c r="I53" i="20"/>
  <c r="H53" i="20"/>
  <c r="D53" i="20"/>
  <c r="C53" i="20"/>
  <c r="I52" i="20"/>
  <c r="K52" i="20" s="1"/>
  <c r="H52" i="20"/>
  <c r="F52" i="20"/>
  <c r="D52" i="20"/>
  <c r="C52" i="20"/>
  <c r="I51" i="20"/>
  <c r="H51" i="20"/>
  <c r="F51" i="20"/>
  <c r="D51" i="20"/>
  <c r="C51" i="20"/>
  <c r="I50" i="20"/>
  <c r="H50" i="20"/>
  <c r="F50" i="20"/>
  <c r="D50" i="20"/>
  <c r="C50" i="20"/>
  <c r="C43" i="20"/>
  <c r="C42" i="20"/>
  <c r="C41" i="20"/>
  <c r="C40" i="20"/>
  <c r="C39" i="20"/>
  <c r="D38" i="20"/>
  <c r="F38" i="20" s="1"/>
  <c r="C38" i="20"/>
  <c r="C26" i="20"/>
  <c r="E23" i="20"/>
  <c r="D23" i="20"/>
  <c r="E21" i="20"/>
  <c r="D21" i="20"/>
  <c r="E19" i="20"/>
  <c r="D19" i="20"/>
  <c r="E17" i="20"/>
  <c r="D17" i="20"/>
  <c r="E16" i="20"/>
  <c r="C9" i="20"/>
  <c r="A60" i="20" s="1"/>
  <c r="C8" i="20"/>
  <c r="C7" i="20"/>
  <c r="C67" i="21"/>
  <c r="C64" i="21"/>
  <c r="C63" i="21"/>
  <c r="J62" i="21"/>
  <c r="H62" i="21"/>
  <c r="C62" i="21"/>
  <c r="J61" i="21"/>
  <c r="H61" i="21"/>
  <c r="F61" i="21"/>
  <c r="D61" i="21"/>
  <c r="C61" i="21"/>
  <c r="H60" i="21"/>
  <c r="D60" i="21"/>
  <c r="C60" i="21"/>
  <c r="C54" i="21"/>
  <c r="J51" i="21"/>
  <c r="H51" i="21"/>
  <c r="D51" i="21"/>
  <c r="C51" i="21"/>
  <c r="H50" i="21"/>
  <c r="D50" i="21"/>
  <c r="C50" i="21"/>
  <c r="J49" i="21"/>
  <c r="H49" i="21"/>
  <c r="D49" i="21"/>
  <c r="C49" i="21"/>
  <c r="J48" i="21"/>
  <c r="H48" i="21"/>
  <c r="D48" i="21"/>
  <c r="C48" i="21"/>
  <c r="H47" i="21"/>
  <c r="D47" i="21"/>
  <c r="C47" i="21"/>
  <c r="J46" i="21"/>
  <c r="I46" i="21"/>
  <c r="H46" i="21"/>
  <c r="D46" i="21"/>
  <c r="C46" i="21"/>
  <c r="J45" i="21"/>
  <c r="I45" i="21"/>
  <c r="H45" i="21"/>
  <c r="D45" i="21"/>
  <c r="C45" i="21"/>
  <c r="C39" i="21"/>
  <c r="C36" i="21"/>
  <c r="H35" i="21"/>
  <c r="D35" i="21"/>
  <c r="C35" i="21"/>
  <c r="D34" i="21"/>
  <c r="C34" i="21"/>
  <c r="H33" i="21"/>
  <c r="D33" i="21"/>
  <c r="C33" i="21"/>
  <c r="H32" i="21"/>
  <c r="F32" i="21"/>
  <c r="D32" i="21"/>
  <c r="C32" i="21"/>
  <c r="C26" i="21"/>
  <c r="C23" i="21"/>
  <c r="C22" i="21"/>
  <c r="C21" i="21"/>
  <c r="J20" i="21"/>
  <c r="H20" i="21"/>
  <c r="C20" i="21"/>
  <c r="J19" i="21"/>
  <c r="I19" i="21"/>
  <c r="K19" i="21" s="1"/>
  <c r="D19" i="21"/>
  <c r="C19" i="21"/>
  <c r="F18" i="21"/>
  <c r="D18" i="21"/>
  <c r="H18" i="21" s="1"/>
  <c r="C18" i="21"/>
  <c r="H17" i="21"/>
  <c r="F17" i="21"/>
  <c r="J17" i="21" s="1"/>
  <c r="D17" i="21"/>
  <c r="C17" i="21"/>
  <c r="C10" i="21"/>
  <c r="C9" i="21"/>
  <c r="C20" i="23" s="1"/>
  <c r="C8" i="21"/>
  <c r="D49" i="23"/>
  <c r="D48" i="23"/>
  <c r="C54" i="23"/>
  <c r="C55" i="23"/>
  <c r="C56" i="23"/>
  <c r="C57" i="23"/>
  <c r="C58" i="23"/>
  <c r="C59" i="23"/>
  <c r="C60" i="23"/>
  <c r="C61" i="23"/>
  <c r="C62" i="23"/>
  <c r="C53" i="23"/>
  <c r="J63" i="23"/>
  <c r="C49" i="23"/>
  <c r="C48" i="23"/>
  <c r="C46" i="23"/>
  <c r="C45" i="23"/>
  <c r="E44" i="23"/>
  <c r="D44" i="23"/>
  <c r="D47" i="23"/>
  <c r="H62" i="23" s="1"/>
  <c r="J65" i="20"/>
  <c r="D16" i="20"/>
  <c r="F16" i="20" s="1"/>
  <c r="F18" i="20" s="1"/>
  <c r="F23" i="20"/>
  <c r="G23" i="20" s="1"/>
  <c r="F21" i="20"/>
  <c r="G21" i="20" s="1"/>
  <c r="F19" i="20"/>
  <c r="G19" i="20" s="1"/>
  <c r="F17" i="20"/>
  <c r="G17" i="20" s="1"/>
  <c r="E52" i="20"/>
  <c r="G52" i="20" s="1"/>
  <c r="E51" i="20"/>
  <c r="G51" i="20" s="1"/>
  <c r="E50" i="20"/>
  <c r="J50" i="20" s="1"/>
  <c r="F65" i="20"/>
  <c r="G65" i="20" s="1"/>
  <c r="H64" i="20"/>
  <c r="H65" i="20"/>
  <c r="H66" i="20" s="1"/>
  <c r="H67" i="20" s="1"/>
  <c r="H68" i="20" s="1"/>
  <c r="H69" i="20" s="1"/>
  <c r="H70" i="20" s="1"/>
  <c r="J64" i="20"/>
  <c r="F64" i="20"/>
  <c r="G64" i="20"/>
  <c r="I64" i="20" s="1"/>
  <c r="K51" i="20"/>
  <c r="F54" i="20"/>
  <c r="E54" i="20"/>
  <c r="J54" i="20" s="1"/>
  <c r="E42" i="20"/>
  <c r="D42" i="20"/>
  <c r="F42" i="20" s="1"/>
  <c r="F55" i="20"/>
  <c r="F53" i="20"/>
  <c r="K53" i="20"/>
  <c r="L53" i="20" s="1"/>
  <c r="E55" i="20"/>
  <c r="J55" i="20" s="1"/>
  <c r="E53" i="20"/>
  <c r="J53" i="20"/>
  <c r="D43" i="20"/>
  <c r="F43" i="20" s="1"/>
  <c r="D41" i="20"/>
  <c r="D40" i="20"/>
  <c r="D39" i="20"/>
  <c r="F39" i="20" s="1"/>
  <c r="E39" i="20"/>
  <c r="E40" i="20"/>
  <c r="F40" i="20" s="1"/>
  <c r="E41" i="20"/>
  <c r="E43" i="20"/>
  <c r="E38" i="20"/>
  <c r="A28" i="20"/>
  <c r="B17" i="24"/>
  <c r="B41" i="23"/>
  <c r="B75" i="20"/>
  <c r="B70" i="21"/>
  <c r="E50" i="21"/>
  <c r="I50" i="21" s="1"/>
  <c r="G54" i="20"/>
  <c r="G53" i="20"/>
  <c r="K55" i="20"/>
  <c r="E44" i="20"/>
  <c r="F41" i="20"/>
  <c r="M53" i="20"/>
  <c r="E32" i="21"/>
  <c r="E33" i="21" s="1"/>
  <c r="C7" i="21"/>
  <c r="A13" i="21" s="1"/>
  <c r="F33" i="21"/>
  <c r="F35" i="21"/>
  <c r="J35" i="21" s="1"/>
  <c r="F34" i="21"/>
  <c r="J34" i="21" s="1"/>
  <c r="C19" i="23"/>
  <c r="C21" i="23"/>
  <c r="I20" i="21"/>
  <c r="K20" i="21" s="1"/>
  <c r="L20" i="21" s="1"/>
  <c r="I48" i="21"/>
  <c r="I49" i="21" s="1"/>
  <c r="K49" i="21" s="1"/>
  <c r="E45" i="21"/>
  <c r="E47" i="21" s="1"/>
  <c r="E61" i="21"/>
  <c r="I61" i="21" s="1"/>
  <c r="K61" i="21" s="1"/>
  <c r="E49" i="21"/>
  <c r="F45" i="21"/>
  <c r="F46" i="21"/>
  <c r="F47" i="21" s="1"/>
  <c r="J47" i="21" s="1"/>
  <c r="I51" i="21"/>
  <c r="E48" i="21"/>
  <c r="E60" i="21"/>
  <c r="J22" i="21"/>
  <c r="I22" i="21"/>
  <c r="K22" i="21" s="1"/>
  <c r="L22" i="21" s="1"/>
  <c r="G22" i="21"/>
  <c r="J21" i="21"/>
  <c r="K21" i="21" s="1"/>
  <c r="L21" i="21" s="1"/>
  <c r="I21" i="21"/>
  <c r="G21" i="21"/>
  <c r="J60" i="21"/>
  <c r="A28" i="21"/>
  <c r="F19" i="21"/>
  <c r="F60" i="21"/>
  <c r="F65" i="21" s="1"/>
  <c r="J23" i="21"/>
  <c r="K23" i="21" s="1"/>
  <c r="L23" i="21" s="1"/>
  <c r="I23" i="21"/>
  <c r="G23" i="21"/>
  <c r="G20" i="21"/>
  <c r="J18" i="21"/>
  <c r="E17" i="21"/>
  <c r="G17" i="21" s="1"/>
  <c r="I62" i="21"/>
  <c r="K62" i="21" s="1"/>
  <c r="L62" i="21" s="1"/>
  <c r="J64" i="21"/>
  <c r="I64" i="21"/>
  <c r="G64" i="21"/>
  <c r="L64" i="21" s="1"/>
  <c r="J63" i="21"/>
  <c r="I63" i="21"/>
  <c r="K63" i="21" s="1"/>
  <c r="G63" i="21"/>
  <c r="J36" i="21"/>
  <c r="K36" i="21" s="1"/>
  <c r="I36" i="21"/>
  <c r="G36" i="21"/>
  <c r="L36" i="21" s="1"/>
  <c r="J32" i="21"/>
  <c r="F25" i="23"/>
  <c r="F17" i="23"/>
  <c r="A13" i="20"/>
  <c r="A56" i="21"/>
  <c r="A41" i="21"/>
  <c r="D28" i="23"/>
  <c r="D26" i="23"/>
  <c r="F7" i="23"/>
  <c r="O4" i="23"/>
  <c r="K64" i="21"/>
  <c r="F48" i="21"/>
  <c r="F50" i="21"/>
  <c r="G50" i="21" s="1"/>
  <c r="E46" i="21"/>
  <c r="K45" i="21"/>
  <c r="J65" i="21"/>
  <c r="L63" i="21"/>
  <c r="G62" i="21"/>
  <c r="K51" i="21"/>
  <c r="P17" i="20" l="1"/>
  <c r="K48" i="21"/>
  <c r="D18" i="20"/>
  <c r="D20" i="20" s="1"/>
  <c r="G45" i="21"/>
  <c r="L45" i="21" s="1"/>
  <c r="J51" i="20"/>
  <c r="L51" i="20" s="1"/>
  <c r="M51" i="20" s="1"/>
  <c r="H61" i="23"/>
  <c r="G61" i="21"/>
  <c r="L61" i="21" s="1"/>
  <c r="E18" i="21"/>
  <c r="K64" i="20"/>
  <c r="H52" i="23"/>
  <c r="H59" i="23"/>
  <c r="H54" i="23"/>
  <c r="H56" i="23"/>
  <c r="I33" i="21"/>
  <c r="K33" i="21" s="1"/>
  <c r="G33" i="21"/>
  <c r="E34" i="21"/>
  <c r="E65" i="21"/>
  <c r="G60" i="21"/>
  <c r="I60" i="21"/>
  <c r="F20" i="20"/>
  <c r="F44" i="20"/>
  <c r="G46" i="21"/>
  <c r="L46" i="21" s="1"/>
  <c r="E52" i="21"/>
  <c r="G50" i="20"/>
  <c r="I18" i="21"/>
  <c r="K18" i="21" s="1"/>
  <c r="G18" i="21"/>
  <c r="G47" i="21"/>
  <c r="I47" i="21"/>
  <c r="J33" i="21"/>
  <c r="J37" i="21" s="1"/>
  <c r="F37" i="21"/>
  <c r="M54" i="20"/>
  <c r="J24" i="21"/>
  <c r="J50" i="21"/>
  <c r="K50" i="21" s="1"/>
  <c r="L50" i="21" s="1"/>
  <c r="F49" i="21"/>
  <c r="G48" i="21"/>
  <c r="F51" i="21"/>
  <c r="G51" i="21" s="1"/>
  <c r="L51" i="21" s="1"/>
  <c r="E19" i="21"/>
  <c r="I32" i="21"/>
  <c r="G32" i="21"/>
  <c r="L55" i="20"/>
  <c r="J52" i="20"/>
  <c r="L52" i="20" s="1"/>
  <c r="M52" i="20" s="1"/>
  <c r="I65" i="20"/>
  <c r="K65" i="20" s="1"/>
  <c r="I17" i="21"/>
  <c r="C18" i="23"/>
  <c r="D44" i="20"/>
  <c r="D33" i="20" s="1"/>
  <c r="K50" i="20"/>
  <c r="L50" i="20" s="1"/>
  <c r="G68" i="20"/>
  <c r="I68" i="20" s="1"/>
  <c r="K68" i="20" s="1"/>
  <c r="G16" i="20"/>
  <c r="P16" i="20" s="1"/>
  <c r="H58" i="23"/>
  <c r="H60" i="23"/>
  <c r="H55" i="23"/>
  <c r="K46" i="21"/>
  <c r="G55" i="20"/>
  <c r="G67" i="20"/>
  <c r="I67" i="20" s="1"/>
  <c r="K67" i="20" s="1"/>
  <c r="G70" i="20"/>
  <c r="I70" i="20" s="1"/>
  <c r="K70" i="20" s="1"/>
  <c r="H57" i="23"/>
  <c r="H53" i="23"/>
  <c r="F24" i="21"/>
  <c r="L48" i="21" l="1"/>
  <c r="G18" i="20"/>
  <c r="K71" i="20"/>
  <c r="E9" i="20" s="1"/>
  <c r="F9" i="20" s="1"/>
  <c r="G36" i="9" s="1"/>
  <c r="E18" i="20"/>
  <c r="L33" i="21"/>
  <c r="D22" i="20"/>
  <c r="P21" i="20"/>
  <c r="P19" i="20"/>
  <c r="L18" i="21"/>
  <c r="H63" i="23"/>
  <c r="G65" i="21"/>
  <c r="D10" i="21" s="1"/>
  <c r="G49" i="21"/>
  <c r="F52" i="21"/>
  <c r="E20" i="20"/>
  <c r="G20" i="20"/>
  <c r="F22" i="20"/>
  <c r="I24" i="21"/>
  <c r="K17" i="21"/>
  <c r="I65" i="21"/>
  <c r="K60" i="21"/>
  <c r="K65" i="21" s="1"/>
  <c r="E10" i="21" s="1"/>
  <c r="E21" i="23" s="1"/>
  <c r="M55" i="20"/>
  <c r="L56" i="20"/>
  <c r="D8" i="20"/>
  <c r="K32" i="21"/>
  <c r="G19" i="21"/>
  <c r="L19" i="21" s="1"/>
  <c r="E24" i="21"/>
  <c r="K47" i="21"/>
  <c r="K52" i="21" s="1"/>
  <c r="E9" i="21" s="1"/>
  <c r="E20" i="23" s="1"/>
  <c r="I52" i="21"/>
  <c r="G56" i="20"/>
  <c r="M50" i="20"/>
  <c r="J52" i="21"/>
  <c r="E35" i="21"/>
  <c r="G34" i="21"/>
  <c r="I34" i="21"/>
  <c r="K34" i="21" s="1"/>
  <c r="E28" i="23" l="1"/>
  <c r="F28" i="23" s="1"/>
  <c r="D24" i="20"/>
  <c r="P23" i="20"/>
  <c r="P24" i="20" s="1"/>
  <c r="L47" i="21"/>
  <c r="K24" i="21"/>
  <c r="E7" i="21" s="1"/>
  <c r="L17" i="21"/>
  <c r="L24" i="21" s="1"/>
  <c r="M56" i="20"/>
  <c r="E33" i="20" s="1"/>
  <c r="F10" i="21"/>
  <c r="G21" i="9" s="1"/>
  <c r="D21" i="23"/>
  <c r="F21" i="23" s="1"/>
  <c r="G35" i="21"/>
  <c r="G37" i="21" s="1"/>
  <c r="D8" i="21" s="1"/>
  <c r="I35" i="21"/>
  <c r="E37" i="21"/>
  <c r="D10" i="20"/>
  <c r="D27" i="23"/>
  <c r="G24" i="21"/>
  <c r="D7" i="21" s="1"/>
  <c r="L34" i="21"/>
  <c r="L32" i="21"/>
  <c r="G22" i="20"/>
  <c r="E22" i="20"/>
  <c r="F24" i="20"/>
  <c r="L49" i="21"/>
  <c r="G52" i="21"/>
  <c r="D9" i="21" s="1"/>
  <c r="L60" i="21"/>
  <c r="L65" i="21" s="1"/>
  <c r="L52" i="21" l="1"/>
  <c r="D19" i="23"/>
  <c r="E24" i="20"/>
  <c r="G24" i="20"/>
  <c r="E18" i="23"/>
  <c r="F9" i="21"/>
  <c r="G20" i="9" s="1"/>
  <c r="D20" i="23"/>
  <c r="F20" i="23" s="1"/>
  <c r="D29" i="23"/>
  <c r="D9" i="23" s="1"/>
  <c r="K35" i="21"/>
  <c r="K37" i="21" s="1"/>
  <c r="E8" i="21" s="1"/>
  <c r="E19" i="23" s="1"/>
  <c r="I37" i="21"/>
  <c r="D11" i="21"/>
  <c r="D18" i="23"/>
  <c r="F7" i="21"/>
  <c r="E8" i="20"/>
  <c r="F33" i="20"/>
  <c r="E7" i="20" l="1"/>
  <c r="H17" i="20"/>
  <c r="R17" i="20" s="1"/>
  <c r="H23" i="20"/>
  <c r="R20" i="20" s="1"/>
  <c r="H19" i="20"/>
  <c r="R18" i="20" s="1"/>
  <c r="H21" i="20"/>
  <c r="R19" i="20" s="1"/>
  <c r="H16" i="20"/>
  <c r="G18" i="9"/>
  <c r="D22" i="23"/>
  <c r="D8" i="23" s="1"/>
  <c r="F18" i="23"/>
  <c r="D46" i="23"/>
  <c r="E11" i="21"/>
  <c r="F19" i="23"/>
  <c r="E27" i="23"/>
  <c r="F27" i="23" s="1"/>
  <c r="F8" i="20"/>
  <c r="G35" i="9" s="1"/>
  <c r="L35" i="21"/>
  <c r="L37" i="21" s="1"/>
  <c r="E22" i="23"/>
  <c r="E8" i="23" s="1"/>
  <c r="E45" i="23" s="1"/>
  <c r="D53" i="23" s="1"/>
  <c r="D54" i="23" s="1"/>
  <c r="D55" i="23" s="1"/>
  <c r="D56" i="23" s="1"/>
  <c r="D57" i="23" s="1"/>
  <c r="D58" i="23" s="1"/>
  <c r="D59" i="23" s="1"/>
  <c r="D60" i="23" s="1"/>
  <c r="D61" i="23" s="1"/>
  <c r="D62" i="23" s="1"/>
  <c r="F8" i="21"/>
  <c r="G19" i="9" s="1"/>
  <c r="G22" i="9" l="1"/>
  <c r="F22" i="23"/>
  <c r="H24" i="20"/>
  <c r="R16" i="20"/>
  <c r="F11" i="21"/>
  <c r="F8" i="23"/>
  <c r="G7" i="9" s="1"/>
  <c r="D45" i="23"/>
  <c r="D52" i="23" s="1"/>
  <c r="E26" i="23"/>
  <c r="E10" i="20"/>
  <c r="F7" i="20"/>
  <c r="F10" i="20" l="1"/>
  <c r="G34" i="9"/>
  <c r="G37" i="9" s="1"/>
  <c r="F26" i="23"/>
  <c r="F29" i="23" s="1"/>
  <c r="E29" i="23"/>
  <c r="E9" i="23" s="1"/>
  <c r="G52" i="23"/>
  <c r="F52" i="23" s="1"/>
  <c r="D63" i="23"/>
  <c r="D64" i="23"/>
  <c r="E46" i="23" l="1"/>
  <c r="E53" i="23" s="1"/>
  <c r="F9" i="23"/>
  <c r="G8" i="9" l="1"/>
  <c r="G9" i="9" s="1"/>
  <c r="F10" i="23"/>
  <c r="F13" i="23" s="1"/>
  <c r="G53" i="23"/>
  <c r="F53" i="23" s="1"/>
  <c r="E54" i="23"/>
  <c r="E55" i="23" l="1"/>
  <c r="G54" i="23"/>
  <c r="I53" i="23"/>
  <c r="F54" i="23" l="1"/>
  <c r="E56" i="23"/>
  <c r="G55" i="23"/>
  <c r="I54" i="23" l="1"/>
  <c r="F55" i="23"/>
  <c r="E57" i="23"/>
  <c r="G56" i="23"/>
  <c r="I55" i="23" l="1"/>
  <c r="F56" i="23"/>
  <c r="I56" i="23"/>
  <c r="G57" i="23"/>
  <c r="E58" i="23"/>
  <c r="F57" i="23" l="1"/>
  <c r="E59" i="23"/>
  <c r="G58" i="23"/>
  <c r="E60" i="23" l="1"/>
  <c r="G59" i="23"/>
  <c r="F58" i="23"/>
  <c r="I57" i="23"/>
  <c r="F59" i="23" l="1"/>
  <c r="I59" i="23" s="1"/>
  <c r="I58" i="23"/>
  <c r="G60" i="23"/>
  <c r="F60" i="23" s="1"/>
  <c r="E61" i="23"/>
  <c r="I60" i="23" l="1"/>
  <c r="G61" i="23"/>
  <c r="F61" i="23" s="1"/>
  <c r="E62" i="23"/>
  <c r="G62" i="23" s="1"/>
  <c r="E63" i="23" l="1"/>
  <c r="E64" i="23"/>
  <c r="F62" i="23"/>
  <c r="F63" i="23" s="1"/>
  <c r="I61" i="23"/>
  <c r="G64" i="23"/>
  <c r="D39" i="23" s="1"/>
  <c r="F11" i="23" s="1"/>
  <c r="G63" i="23"/>
  <c r="D35" i="23" s="1"/>
  <c r="I62" i="23" l="1"/>
  <c r="I63" i="23" s="1"/>
  <c r="D66" i="23" s="1"/>
  <c r="D36" i="23" s="1"/>
  <c r="F14" i="23" s="1"/>
</calcChain>
</file>

<file path=xl/sharedStrings.xml><?xml version="1.0" encoding="utf-8"?>
<sst xmlns="http://schemas.openxmlformats.org/spreadsheetml/2006/main" count="252" uniqueCount="146">
  <si>
    <t>Hide After</t>
  </si>
  <si>
    <t>ROI Calculator and Business Case Toolkit</t>
  </si>
  <si>
    <t>The "ROI Calculator and Business Case Toolkit" enables rapid development of basic business cases for IT projects</t>
  </si>
  <si>
    <t>Overview</t>
  </si>
  <si>
    <t xml:space="preserve">This tool helps solution providers (vendors) to quantify and communicate the costs, benefits, and ROI of many types of enterprise-scale technology-based solutions.  It produces business case reports (Microsoft Word format) that can be edited and presented to decision-makers.
The tool estimates the costs required to implement the new capabilities/solution, including licenses, hardware, software, IT labor, services, and user labor. It also estimates benefits (user productivity, IT TCO savings, business cost savings, and revenue growth) enabled by the solution.
This tool was developed by AnalysisPlace for use with the Excel-to-Word Document Automation Add-In and the "Business Case Template.docx": 
</t>
  </si>
  <si>
    <t>https://analysisplace.com/Document-Automation</t>
  </si>
  <si>
    <t>The add-in helps to automatically update/personalize the Word document based on content in this workbook.</t>
  </si>
  <si>
    <t>Instructions</t>
  </si>
  <si>
    <t>Modify the input cells (tan colored fields) throughout the calculator based on your solution and your customer's environment.
Start with the 3 "Profile" questions below, then the inputs on the "Costs", "Benefits", and "ROI" pages.
Navigate between pages with the tabs at the bottom of the window.
When your assessment is done, create the business case from the button on the "ROI" page.
To update Content in the Word document, install the add-in if it does not automatically open in both Excel and Word. Then here in Excel, "Submit Content" ("Submit" tab). Then in the Word document, "Update Content".
You may customize both documents for your own use.</t>
  </si>
  <si>
    <t>Solution Profile</t>
  </si>
  <si>
    <t>The following fields help to pre-populate other inputs thoughout the tool.</t>
  </si>
  <si>
    <t>What is the name of your organization?</t>
  </si>
  <si>
    <t>Vendor (Solution Provider) Short Name</t>
  </si>
  <si>
    <t>What is the analysis duration?</t>
  </si>
  <si>
    <t>Project Duration (Years)</t>
  </si>
  <si>
    <t>Enter duration of the analysis: the number of years the solution is likely to be employed.  Typically 3-5 years for most IT solutions.</t>
  </si>
  <si>
    <t>How many users are impacted by (or involved with) the solution?</t>
  </si>
  <si>
    <t>Users impacted</t>
  </si>
  <si>
    <t>This is used to scale example default cost and benefits in the model.</t>
  </si>
  <si>
    <t>© AnalysisPlace</t>
  </si>
  <si>
    <t>Solution Costs</t>
  </si>
  <si>
    <t>The tables below help you to quantify/calculate costs of your solution from your customer's perspective.  Include all direct and indirect costs needed by your customer to fully and effectively adopt your solution.</t>
  </si>
  <si>
    <t>Summary</t>
  </si>
  <si>
    <t>This table summarizes customer costs of your solution.  It summarizes the costs of the 4 tables below.  You can customize the 4 category names.</t>
  </si>
  <si>
    <t>One-Time</t>
  </si>
  <si>
    <t>Annual</t>
  </si>
  <si>
    <t>Total</t>
  </si>
  <si>
    <t>Total Benefit</t>
  </si>
  <si>
    <t>This table helps to calculate the solution provider's costs (e.g. products, licenses, services) of the proposed solution.</t>
  </si>
  <si>
    <t>Initial One-Time</t>
  </si>
  <si>
    <t>Annual On-Going</t>
  </si>
  <si>
    <t>Description</t>
  </si>
  <si>
    <t>Units</t>
  </si>
  <si>
    <t>Quantity</t>
  </si>
  <si>
    <t>Cost Each</t>
  </si>
  <si>
    <t>The table below helps to quantify internal hard costs required to enable your solution.</t>
  </si>
  <si>
    <t>The table below helps to quantify internal labor costs required to enable your solution. Include all costs necessary for your customer to realize full benefits from your solution.</t>
  </si>
  <si>
    <t>In the table below, include other products, solutions, and services necessary to support your solution.</t>
  </si>
  <si>
    <t>Solution Benefits</t>
  </si>
  <si>
    <t>The tables below help to quantify/calculate benefits of the proposed solution from the customer's perspective. Ensure all benefits can be credibly quantified and have (or could have) buy-in from the customer.</t>
  </si>
  <si>
    <t>This table summarizes benefits of your solution from your customer's perspective.</t>
  </si>
  <si>
    <t>Benefit Type</t>
  </si>
  <si>
    <t>One Time</t>
  </si>
  <si>
    <t>There are multiple methods of estimating revenue gains due to a proposed solution, below is one.</t>
  </si>
  <si>
    <t>For Graph</t>
  </si>
  <si>
    <t>Current (As-Is)</t>
  </si>
  <si>
    <t>% Improvement</t>
  </si>
  <si>
    <t>To-Be</t>
  </si>
  <si>
    <t>Improvement</t>
  </si>
  <si>
    <t>Improvement Value</t>
  </si>
  <si>
    <t>Value</t>
  </si>
  <si>
    <t>Type</t>
  </si>
  <si>
    <t>Marketing Leads</t>
  </si>
  <si>
    <t>Lead Generation Gains</t>
  </si>
  <si>
    <t>The solution may only apply to a portion of the existing business.  For example, only new (vs recurring sales), specific regions, industries, business types, product lines, etc.</t>
  </si>
  <si>
    <t>Marketing Conversion Rate</t>
  </si>
  <si>
    <t>Marketing Conversion Rate Improvement</t>
  </si>
  <si>
    <t>Sales Leads</t>
  </si>
  <si>
    <t>Sales Close Rate Improvement</t>
  </si>
  <si>
    <t>Sales Close Rate</t>
  </si>
  <si>
    <t>Deal Size Improvement</t>
  </si>
  <si>
    <t>Deals per Year</t>
  </si>
  <si>
    <t>Sales Margin Improvement</t>
  </si>
  <si>
    <t>Revenue per Deal</t>
  </si>
  <si>
    <t>Revenue per Year</t>
  </si>
  <si>
    <t>Could be due to incremental leads, higher lead conversion rates, higher sales close rates, incremental up-sell/cross-sell rates, improved retention rates, etc.</t>
  </si>
  <si>
    <t>Margin (% of Revenue)</t>
  </si>
  <si>
    <t>The benefit from new revenue is not the full amount of the revenue, but is the profit margin of the revenue.  All new revenue has costs (e.g. raw materials, support, SG&amp;A, etc.).  Profit margin can vary significantly from one industry/company to another -- ensure that the selected % is reasonable for the customer's environment/industry.</t>
  </si>
  <si>
    <t>Sales Margin</t>
  </si>
  <si>
    <t>Below are 2 methods to estimate cost savings resulting from the proposed solution.</t>
  </si>
  <si>
    <t>Cost Savings Summary</t>
  </si>
  <si>
    <t>This result simply adds the totals of the 2 methods below.</t>
  </si>
  <si>
    <t>Total Cost Savings</t>
  </si>
  <si>
    <t>Simple/Direct Savings</t>
  </si>
  <si>
    <t>Simply enter one-time and annual savings for each savings type.</t>
  </si>
  <si>
    <t>Cost/TCO Savings Based on KPIs (Annual)</t>
  </si>
  <si>
    <t>This table helps estimate annual cost or TCO (Total Cost of Ownership) savings.  The savings (due to the solution) is based on a % reduction in KPI value and/or cost per KPI.</t>
  </si>
  <si>
    <t>Reduction % 
(Enabled by the Solution)</t>
  </si>
  <si>
    <t>To-Be
(After the Solution is Implemented)</t>
  </si>
  <si>
    <t>Annual Savings</t>
  </si>
  <si>
    <t>KPI Name</t>
  </si>
  <si>
    <t>KPI Value</t>
  </si>
  <si>
    <t>Cost per KPI</t>
  </si>
  <si>
    <t>This table helps estimate labor time savings resulting from the proposed solution. The benefit is estimated by multiplying time savings (resulting from the solution) by labor costs.</t>
  </si>
  <si>
    <t>Time Conducting Activity per User
 (Hours per Month)</t>
  </si>
  <si>
    <t>Hours Saved per Year per User</t>
  </si>
  <si>
    <t>Average Hourly Cost (Fully Burdened)</t>
  </si>
  <si>
    <t>Annual Value of Time Saved per User</t>
  </si>
  <si>
    <t xml:space="preserve"># of Users Impacted </t>
  </si>
  <si>
    <t>Annual Benefit</t>
  </si>
  <si>
    <t>Activity</t>
  </si>
  <si>
    <t>% Reduction</t>
  </si>
  <si>
    <t>Total Annual Benefit</t>
  </si>
  <si>
    <t>Financial Analysis</t>
  </si>
  <si>
    <t>This worksheet contains tables and charts that summarize the results of the tool.  It consolidates results from all of the other worksheets and analyzes the results (compares costs to benefits).  It includes:  a summary of the costs &amp; benefits by type; cash flow analysis; the impact to key performance indicators; and calculation of ROI, payback period, NPV, and IRR.</t>
  </si>
  <si>
    <t>The tables and graphs below provide a summary of the estimated investment and financial benefits.</t>
  </si>
  <si>
    <t>Total Costs</t>
  </si>
  <si>
    <t>Total Benefits</t>
  </si>
  <si>
    <t>Net Benefits</t>
  </si>
  <si>
    <t>Net Present Value (NPV)</t>
  </si>
  <si>
    <t>ROI (Net Benefits / Costs)</t>
  </si>
  <si>
    <t>Payback (Months)</t>
  </si>
  <si>
    <t>Costs (Investment)</t>
  </si>
  <si>
    <t>Cost Type</t>
  </si>
  <si>
    <t>Benefits</t>
  </si>
  <si>
    <t>Revenue Gains (Margin)</t>
  </si>
  <si>
    <t>Cost Savings</t>
  </si>
  <si>
    <t>Productivity Savings</t>
  </si>
  <si>
    <t>Costs and Benefits by Year</t>
  </si>
  <si>
    <t xml:space="preserve">Shown below are the solution investment and benefits by year, and the cumulative net benefits.  This is used to calculate NPV (Net Present Value) and  payback period.  </t>
  </si>
  <si>
    <t>Payback Period (Months)</t>
  </si>
  <si>
    <t>Discount Rate (Weighted Average Cost of Capital)</t>
  </si>
  <si>
    <t>Used to discount the cash flows to calculate NPV (Net Present Value)</t>
  </si>
  <si>
    <t>Duration Years:</t>
  </si>
  <si>
    <t>tDur</t>
  </si>
  <si>
    <t>OFFSET(ROI!$C$79,0,0,1,1+$D$74)</t>
  </si>
  <si>
    <t>OFFSET(ROI!$D$79,0,0,1,1+$D$74)</t>
  </si>
  <si>
    <t>OFFSET(ROI!$E$79,0,0,1,1+$D$74)</t>
  </si>
  <si>
    <t>OFFSET(ROI!$F$79,0,0,1,1+$D$74)</t>
  </si>
  <si>
    <t>Year</t>
  </si>
  <si>
    <t>Costs</t>
  </si>
  <si>
    <t>Cumulative</t>
  </si>
  <si>
    <t>Year On?</t>
  </si>
  <si>
    <t>Payback Calc</t>
  </si>
  <si>
    <t>Initial</t>
  </si>
  <si>
    <t>NPV</t>
  </si>
  <si>
    <t>max</t>
  </si>
  <si>
    <t>NOT USED</t>
  </si>
  <si>
    <t>Cost Annual Growth Rate</t>
  </si>
  <si>
    <t>Benefit Annual Growth Rate</t>
  </si>
  <si>
    <t>About This Tool</t>
  </si>
  <si>
    <t>About</t>
  </si>
  <si>
    <t xml:space="preserve">This tool was developed by AnalysisPlace for use with the Excel-to-Word Document Automation Add-In. </t>
  </si>
  <si>
    <t>Disclaimer</t>
  </si>
  <si>
    <t>This product is for informational purposes only.  AnalysisPlace, partners, and suppliers MAKE NO WARRANTIES, EXPRESS, IMPLIED, OR STATUTORY, AS TO THE INFORMATION IN OR CREATED BY THIS PRODUCT.
In no event shall AnalysisPlace, partners, or suppliers be liable for any damages, including those arising as a result of AnalysisPlace or supplier negligence, whether those damages are direct, consequential, incidental, or special, flowing from your use of or inability to use the tool, or information provided herewith, or results of the tool's use, even if AnalysisPlace or suppliers has been advised of the possibility of such damages.</t>
  </si>
  <si>
    <t>Terms of Use</t>
  </si>
  <si>
    <t>By using the product, you accept our "Terms of Use". If you do not accept them, do not use the product.
Summary of terms:
You may NOT sell, rent, lease, or lend this product or portions/derivations of it 
You may redistribute this product to others with all notices intact
You may create derivative works from this product for your company's own use
Complying with all applicable copyright laws is the responsibility of the user. AnalysisPlace may have patents, patent applications, trademarks, copyrights, or other intellectual property rights covering subject matter in this product. Except as expressly provided in any written license agreement from AnalysisPlace, the furnishing of this product does not give you any license to these patents, trademarks, copyrights, or other intellectual property.</t>
  </si>
  <si>
    <t>For more information, please see our Terms of Use and Privacy Policy:</t>
  </si>
  <si>
    <t>Terms of Use:  https://analysisplace.com/terms</t>
  </si>
  <si>
    <t>Privacy Statement:   https://analysisplace.com/privacy</t>
  </si>
  <si>
    <t>Report Charts</t>
  </si>
  <si>
    <t>rpt_DatePrepared</t>
  </si>
  <si>
    <t>rpt_chCostVBen</t>
  </si>
  <si>
    <t>rpt_CostPie</t>
  </si>
  <si>
    <t>rpt_BenPie</t>
  </si>
  <si>
    <t>Vendor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</si>
</sst>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164" formatCode="&quot;$&quot;#,##0"/>
    <numFmt numFmtId="165" formatCode="[$-F800]dddd\,\ mmmm\ dd\,\ yyyy"/>
    <numFmt numFmtId="166" formatCode="0.0"/>
    <numFmt numFmtId="167" formatCode="0.0%"/>
    <numFmt numFmtId="168" formatCode="#,##0.0"/>
    <numFmt numFmtId="169" formatCode="[$$]#,##0"/>
  </numFmts>
  <fonts count="28" x14ac:knownFonts="1">
    <font>
      <sz val="12"/>
      <color theme="1"/>
      <name val="Arial"/>
      <family val="2"/>
      <scheme val="minor"/>
    </font>
    <font>
      <sz val="11"/>
      <color theme="1"/>
      <name val="Arial"/>
      <family val="2"/>
      <scheme val="minor"/>
    </font>
    <font>
      <u/>
      <sz val="12"/>
      <color theme="10"/>
      <name val="Arial"/>
      <family val="2"/>
      <scheme val="minor"/>
    </font>
    <font>
      <u/>
      <sz val="12"/>
      <color theme="11"/>
      <name val="Arial"/>
      <family val="2"/>
      <scheme val="minor"/>
    </font>
    <font>
      <sz val="12"/>
      <color rgb="FF006100"/>
      <name val="Arial"/>
      <family val="2"/>
      <scheme val="minor"/>
    </font>
    <font>
      <sz val="12"/>
      <color rgb="FF9C6500"/>
      <name val="Arial"/>
      <family val="2"/>
      <scheme val="minor"/>
    </font>
    <font>
      <sz val="12"/>
      <color theme="0"/>
      <name val="Arial"/>
      <family val="2"/>
      <scheme val="minor"/>
    </font>
    <font>
      <b/>
      <sz val="10"/>
      <name val="Arial"/>
      <family val="2"/>
    </font>
    <font>
      <sz val="11"/>
      <color rgb="FF9C0006"/>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b/>
      <sz val="11"/>
      <color theme="0"/>
      <name val="Arial"/>
      <family val="2"/>
      <scheme val="minor"/>
    </font>
    <font>
      <sz val="10"/>
      <name val="Arial"/>
      <family val="2"/>
    </font>
    <font>
      <sz val="12"/>
      <color theme="1"/>
      <name val="Arial"/>
      <family val="2"/>
      <scheme val="minor"/>
    </font>
    <font>
      <b/>
      <sz val="11"/>
      <color theme="1"/>
      <name val="Arial"/>
      <family val="2"/>
      <scheme val="minor"/>
    </font>
    <font>
      <sz val="10"/>
      <color theme="0" tint="-0.499984740745262"/>
      <name val="Arial"/>
      <family val="2"/>
      <scheme val="minor"/>
    </font>
    <font>
      <b/>
      <sz val="12"/>
      <color theme="0"/>
      <name val="Arial"/>
      <family val="2"/>
      <scheme val="minor"/>
    </font>
    <font>
      <i/>
      <sz val="11"/>
      <color rgb="FF7F7F7F"/>
      <name val="Arial"/>
      <family val="2"/>
      <scheme val="minor"/>
    </font>
    <font>
      <b/>
      <sz val="11"/>
      <color theme="3"/>
      <name val="Arial"/>
      <family val="2"/>
      <scheme val="minor"/>
    </font>
    <font>
      <sz val="11"/>
      <color rgb="FFFA7D00"/>
      <name val="Arial"/>
      <family val="2"/>
      <scheme val="minor"/>
    </font>
    <font>
      <sz val="11"/>
      <color theme="1" tint="-0.24994659260841701"/>
      <name val="Arial"/>
      <family val="2"/>
    </font>
    <font>
      <b/>
      <sz val="13"/>
      <color theme="7" tint="-0.499984740745262"/>
      <name val="Arial"/>
      <family val="2"/>
      <scheme val="minor"/>
    </font>
    <font>
      <b/>
      <sz val="22"/>
      <color theme="8" tint="-0.499984740745262"/>
      <name val="Arial"/>
      <family val="2"/>
      <scheme val="major"/>
    </font>
    <font>
      <i/>
      <sz val="10"/>
      <color rgb="FF7F7F7F"/>
      <name val="Arial"/>
      <family val="2"/>
      <scheme val="minor"/>
    </font>
    <font>
      <b/>
      <sz val="15"/>
      <color theme="8" tint="-0.499984740745262"/>
      <name val="Arial"/>
      <family val="2"/>
      <scheme val="minor"/>
    </font>
    <font>
      <i/>
      <sz val="11"/>
      <color theme="1"/>
      <name val="Arial"/>
      <family val="2"/>
      <scheme val="minor"/>
    </font>
    <font>
      <sz val="12"/>
      <color theme="1"/>
      <name val="Arial"/>
      <family val="2"/>
    </font>
  </fonts>
  <fills count="18">
    <fill>
      <patternFill patternType="none"/>
    </fill>
    <fill>
      <patternFill patternType="gray125"/>
    </fill>
    <fill>
      <patternFill patternType="solid">
        <fgColor rgb="FFC6EFCE"/>
      </patternFill>
    </fill>
    <fill>
      <patternFill patternType="solid">
        <fgColor rgb="FFFFEB9C"/>
      </patternFill>
    </fill>
    <fill>
      <patternFill patternType="solid">
        <fgColor rgb="FF800000"/>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8" tint="0.59996337778862885"/>
        <bgColor indexed="64"/>
      </patternFill>
    </fill>
    <fill>
      <patternFill patternType="solid">
        <fgColor theme="8" tint="-0.24994659260841701"/>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indexed="65"/>
        <bgColor auto="1"/>
      </patternFill>
    </fill>
  </fills>
  <borders count="26">
    <border>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double">
        <color theme="0"/>
      </top>
      <bottom style="thin">
        <color theme="0"/>
      </bottom>
      <diagonal/>
    </border>
    <border>
      <left/>
      <right/>
      <top style="thin">
        <color theme="4"/>
      </top>
      <bottom style="double">
        <color theme="4"/>
      </bottom>
      <diagonal/>
    </border>
    <border>
      <left style="medium">
        <color theme="0"/>
      </left>
      <right/>
      <top/>
      <bottom/>
      <diagonal/>
    </border>
    <border>
      <left/>
      <right/>
      <top/>
      <bottom style="medium">
        <color theme="0"/>
      </bottom>
      <diagonal/>
    </border>
    <border>
      <left/>
      <right style="medium">
        <color theme="0"/>
      </right>
      <top style="medium">
        <color theme="0"/>
      </top>
      <bottom style="medium">
        <color theme="0"/>
      </bottom>
      <diagonal/>
    </border>
    <border>
      <left/>
      <right/>
      <top/>
      <bottom style="double">
        <color rgb="FFFF8001"/>
      </bottom>
      <diagonal/>
    </border>
    <border>
      <left/>
      <right/>
      <top style="thick">
        <color theme="0" tint="-0.24994659260841701"/>
      </top>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right/>
      <top/>
      <bottom style="thick">
        <color theme="8" tint="-0.499984740745262"/>
      </bottom>
      <diagonal/>
    </border>
    <border>
      <left/>
      <right/>
      <top style="thick">
        <color theme="8" tint="-0.499984740745262"/>
      </top>
      <bottom/>
      <diagonal/>
    </border>
    <border>
      <left/>
      <right/>
      <top style="medium">
        <color theme="0"/>
      </top>
      <bottom style="medium">
        <color theme="0"/>
      </bottom>
      <diagonal/>
    </border>
    <border>
      <left style="thin">
        <color theme="0"/>
      </left>
      <right style="thin">
        <color theme="0"/>
      </right>
      <top style="thick">
        <color theme="0"/>
      </top>
      <bottom style="thin">
        <color theme="0"/>
      </bottom>
      <diagonal/>
    </border>
    <border>
      <left style="thin">
        <color theme="0"/>
      </left>
      <right/>
      <top style="thin">
        <color theme="0"/>
      </top>
      <bottom style="thin">
        <color theme="0"/>
      </bottom>
      <diagonal/>
    </border>
    <border>
      <left style="medium">
        <color theme="0"/>
      </left>
      <right style="medium">
        <color theme="0"/>
      </right>
      <top/>
      <bottom style="medium">
        <color theme="0"/>
      </bottom>
      <diagonal/>
    </border>
    <border>
      <left style="thin">
        <color theme="0"/>
      </left>
      <right style="thin">
        <color theme="0"/>
      </right>
      <top/>
      <bottom style="thin">
        <color theme="0"/>
      </bottom>
      <diagonal/>
    </border>
    <border>
      <left style="medium">
        <color theme="0"/>
      </left>
      <right style="medium">
        <color theme="0"/>
      </right>
      <top style="medium">
        <color theme="0"/>
      </top>
      <bottom style="double">
        <color theme="0"/>
      </bottom>
      <diagonal/>
    </border>
    <border>
      <left style="medium">
        <color theme="0"/>
      </left>
      <right/>
      <top style="medium">
        <color theme="0"/>
      </top>
      <bottom/>
      <diagonal/>
    </border>
    <border>
      <left style="medium">
        <color theme="0"/>
      </left>
      <right/>
      <top style="medium">
        <color theme="0"/>
      </top>
      <bottom style="double">
        <color theme="0"/>
      </bottom>
      <diagonal/>
    </border>
    <border>
      <left style="medium">
        <color theme="0"/>
      </left>
      <right style="medium">
        <color theme="0"/>
      </right>
      <top/>
      <bottom/>
      <diagonal/>
    </border>
  </borders>
  <cellStyleXfs count="1857">
    <xf numFmtId="0" fontId="0"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8" fillId="5" borderId="0" applyNumberFormat="0" applyBorder="0" applyAlignment="0" applyProtection="0"/>
    <xf numFmtId="0" fontId="9" fillId="6" borderId="3" applyNumberFormat="0" applyAlignment="0" applyProtection="0"/>
    <xf numFmtId="0" fontId="10" fillId="7" borderId="4" applyNumberFormat="0" applyAlignment="0" applyProtection="0"/>
    <xf numFmtId="0" fontId="11" fillId="7" borderId="3" applyNumberFormat="0" applyAlignment="0" applyProtection="0"/>
    <xf numFmtId="0" fontId="12" fillId="8" borderId="5" applyNumberFormat="0" applyAlignment="0" applyProtection="0"/>
    <xf numFmtId="0" fontId="6" fillId="4" borderId="0" applyNumberFormat="0" applyFont="0" applyAlignment="0">
      <alignment horizontal="right"/>
      <protection locked="0" hidden="1"/>
    </xf>
    <xf numFmtId="0" fontId="13" fillId="9" borderId="2" applyNumberFormat="0" applyFont="0">
      <alignment vertical="center" wrapText="1"/>
      <protection locked="0" hidden="1"/>
    </xf>
    <xf numFmtId="0" fontId="13" fillId="13" borderId="1" applyNumberFormat="0" applyFont="0">
      <alignment horizontal="left" vertical="center" wrapText="1"/>
      <protection hidden="1"/>
    </xf>
    <xf numFmtId="9" fontId="7" fillId="13" borderId="6" applyNumberFormat="0" applyFont="0">
      <alignment vertical="center" wrapText="1"/>
    </xf>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22" fillId="0" borderId="0" applyNumberFormat="0" applyFill="0" applyAlignment="0" applyProtection="0"/>
    <xf numFmtId="0" fontId="23" fillId="0" borderId="0" applyNumberFormat="0" applyFill="0" applyBorder="0" applyAlignment="0" applyProtection="0"/>
    <xf numFmtId="0" fontId="25" fillId="0" borderId="15" applyNumberFormat="0" applyFill="0" applyAlignment="0" applyProtection="0"/>
    <xf numFmtId="0" fontId="15" fillId="0" borderId="7" applyNumberFormat="0" applyFill="0" applyAlignment="0" applyProtection="0"/>
    <xf numFmtId="3" fontId="14" fillId="0" borderId="0" applyFont="0" applyFill="0" applyBorder="0" applyAlignment="0" applyProtection="0"/>
    <xf numFmtId="0" fontId="18" fillId="0" borderId="0" applyNumberFormat="0" applyFill="0" applyBorder="0" applyProtection="0">
      <alignment vertical="center" wrapText="1"/>
    </xf>
    <xf numFmtId="41" fontId="14" fillId="0" borderId="0" applyFont="0" applyFill="0" applyBorder="0" applyAlignment="0" applyProtection="0"/>
    <xf numFmtId="42" fontId="14" fillId="0" borderId="0" applyFon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17" fillId="14" borderId="2" applyNumberFormat="0">
      <alignment horizontal="center" wrapText="1"/>
    </xf>
    <xf numFmtId="0" fontId="21" fillId="12" borderId="2" applyNumberFormat="0" applyFont="0">
      <alignment vertical="center" wrapText="1"/>
    </xf>
    <xf numFmtId="0" fontId="2" fillId="0" borderId="0" applyNumberFormat="0" applyFill="0" applyBorder="0" applyAlignment="0" applyProtection="0"/>
    <xf numFmtId="0" fontId="15" fillId="10" borderId="18" applyNumberFormat="0" applyFont="0" applyFill="0" applyAlignment="0" applyProtection="0">
      <alignment wrapText="1"/>
    </xf>
    <xf numFmtId="0" fontId="24" fillId="0" borderId="0" applyNumberFormat="0" applyFill="0" applyBorder="0" applyAlignment="0" applyProtection="0"/>
  </cellStyleXfs>
  <cellXfs count="153">
    <xf numFmtId="0" fontId="0" fillId="0" borderId="0" xfId="0"/>
    <xf numFmtId="0" fontId="0" fillId="0" borderId="0" xfId="0" applyBorder="1" applyAlignment="1"/>
    <xf numFmtId="0" fontId="23" fillId="0" borderId="0" xfId="1843"/>
    <xf numFmtId="0" fontId="25" fillId="0" borderId="15" xfId="1844"/>
    <xf numFmtId="0" fontId="0" fillId="11" borderId="0" xfId="0" applyFill="1"/>
    <xf numFmtId="0" fontId="17" fillId="14" borderId="2" xfId="1852">
      <alignment horizontal="center" wrapText="1"/>
    </xf>
    <xf numFmtId="0" fontId="0" fillId="0" borderId="0" xfId="0" applyFill="1" applyBorder="1"/>
    <xf numFmtId="0" fontId="0" fillId="0" borderId="0" xfId="0" applyBorder="1" applyAlignment="1">
      <alignment wrapText="1"/>
    </xf>
    <xf numFmtId="0" fontId="0" fillId="13" borderId="6" xfId="441" applyNumberFormat="1" applyFont="1">
      <alignment vertical="center" wrapText="1"/>
    </xf>
    <xf numFmtId="164" fontId="0" fillId="12" borderId="2" xfId="1853" applyNumberFormat="1" applyFont="1">
      <alignment vertical="center" wrapText="1"/>
    </xf>
    <xf numFmtId="9" fontId="0" fillId="9" borderId="2" xfId="1840" applyFont="1" applyFill="1" applyBorder="1" applyAlignment="1" applyProtection="1">
      <protection locked="0" hidden="1"/>
    </xf>
    <xf numFmtId="168" fontId="21" fillId="12" borderId="2" xfId="1846" applyNumberFormat="1" applyFont="1" applyFill="1" applyBorder="1" applyAlignment="1">
      <alignment vertical="center" wrapText="1"/>
    </xf>
    <xf numFmtId="0" fontId="18" fillId="0" borderId="0" xfId="1847" applyAlignment="1">
      <alignment wrapText="1"/>
    </xf>
    <xf numFmtId="0" fontId="2" fillId="0" borderId="0" xfId="1854" applyAlignment="1">
      <alignment wrapText="1"/>
    </xf>
    <xf numFmtId="0" fontId="2" fillId="0" borderId="0" xfId="1854" applyAlignment="1">
      <alignment horizontal="left" wrapText="1" indent="1"/>
    </xf>
    <xf numFmtId="0" fontId="25" fillId="0" borderId="15" xfId="1844" applyAlignment="1">
      <alignment wrapText="1"/>
    </xf>
    <xf numFmtId="0" fontId="0" fillId="0" borderId="12" xfId="0" applyBorder="1" applyAlignment="1">
      <alignment vertical="center"/>
    </xf>
    <xf numFmtId="164" fontId="0" fillId="12" borderId="2" xfId="1841" applyFont="1" applyFill="1" applyBorder="1" applyAlignment="1">
      <alignment vertical="center" wrapText="1"/>
    </xf>
    <xf numFmtId="164" fontId="0" fillId="9" borderId="2" xfId="1841" applyFont="1" applyFill="1" applyBorder="1" applyAlignment="1" applyProtection="1">
      <alignment vertical="center" wrapText="1"/>
      <protection locked="0" hidden="1"/>
    </xf>
    <xf numFmtId="9" fontId="0" fillId="9" borderId="2" xfId="1840" applyFont="1" applyFill="1" applyBorder="1" applyAlignment="1" applyProtection="1">
      <alignment vertical="center" wrapText="1"/>
      <protection locked="0" hidden="1"/>
    </xf>
    <xf numFmtId="0" fontId="17" fillId="15" borderId="13" xfId="1852" applyFill="1" applyBorder="1">
      <alignment horizontal="center" wrapText="1"/>
    </xf>
    <xf numFmtId="0" fontId="0" fillId="17" borderId="0" xfId="0" applyFill="1" applyBorder="1" applyAlignment="1">
      <alignment vertical="center"/>
    </xf>
    <xf numFmtId="0" fontId="18" fillId="0" borderId="0" xfId="1847">
      <alignment vertical="center" wrapText="1"/>
    </xf>
    <xf numFmtId="0" fontId="26" fillId="0" borderId="0" xfId="1847" applyFont="1" applyAlignment="1">
      <alignment wrapText="1"/>
    </xf>
    <xf numFmtId="0" fontId="26" fillId="0" borderId="0" xfId="1847" applyFont="1">
      <alignment vertical="center" wrapText="1"/>
    </xf>
    <xf numFmtId="0" fontId="0" fillId="0" borderId="19" xfId="0" applyFill="1" applyBorder="1" applyAlignment="1" applyProtection="1">
      <alignment horizontal="left" vertical="center" wrapText="1"/>
      <protection hidden="1"/>
    </xf>
    <xf numFmtId="0" fontId="0" fillId="11" borderId="0" xfId="0" applyFill="1" applyBorder="1"/>
    <xf numFmtId="0" fontId="23" fillId="0" borderId="0" xfId="1843" applyBorder="1"/>
    <xf numFmtId="0" fontId="19" fillId="0" borderId="0" xfId="1850" applyBorder="1"/>
    <xf numFmtId="0" fontId="0" fillId="9" borderId="2" xfId="439" applyFont="1">
      <alignment vertical="center" wrapText="1"/>
      <protection locked="0" hidden="1"/>
    </xf>
    <xf numFmtId="0" fontId="24" fillId="0" borderId="0" xfId="1856" applyBorder="1"/>
    <xf numFmtId="0" fontId="24" fillId="0" borderId="0" xfId="1856" applyBorder="1" applyAlignment="1">
      <alignment vertical="center"/>
    </xf>
    <xf numFmtId="164" fontId="0" fillId="12" borderId="10" xfId="1853" applyNumberFormat="1" applyFont="1" applyBorder="1">
      <alignment vertical="center" wrapText="1"/>
    </xf>
    <xf numFmtId="0" fontId="0" fillId="13" borderId="21" xfId="441" applyNumberFormat="1" applyFont="1" applyBorder="1">
      <alignment vertical="center" wrapText="1"/>
    </xf>
    <xf numFmtId="164" fontId="0" fillId="12" borderId="17" xfId="1853" applyNumberFormat="1" applyFont="1" applyBorder="1">
      <alignment vertical="center" wrapText="1"/>
    </xf>
    <xf numFmtId="3" fontId="0" fillId="13" borderId="21" xfId="441" applyNumberFormat="1" applyFont="1" applyBorder="1">
      <alignment vertical="center" wrapText="1"/>
    </xf>
    <xf numFmtId="164" fontId="0" fillId="13" borderId="21" xfId="441" applyNumberFormat="1" applyFont="1" applyBorder="1">
      <alignment vertical="center" wrapText="1"/>
    </xf>
    <xf numFmtId="168" fontId="0" fillId="13" borderId="21" xfId="441" applyNumberFormat="1" applyFont="1" applyBorder="1">
      <alignment vertical="center" wrapText="1"/>
    </xf>
    <xf numFmtId="164" fontId="0" fillId="13" borderId="6" xfId="441" applyNumberFormat="1" applyFont="1">
      <alignment vertical="center" wrapText="1"/>
    </xf>
    <xf numFmtId="0" fontId="0" fillId="9" borderId="23" xfId="439" applyFont="1" applyBorder="1" applyAlignment="1">
      <protection locked="0" hidden="1"/>
    </xf>
    <xf numFmtId="0" fontId="0" fillId="9" borderId="23" xfId="439" applyNumberFormat="1" applyFont="1" applyBorder="1" applyAlignment="1">
      <protection locked="0" hidden="1"/>
    </xf>
    <xf numFmtId="3" fontId="0" fillId="9" borderId="23" xfId="439" applyNumberFormat="1" applyFont="1" applyBorder="1" applyAlignment="1">
      <protection locked="0" hidden="1"/>
    </xf>
    <xf numFmtId="164" fontId="0" fillId="9" borderId="13" xfId="439" applyNumberFormat="1" applyFont="1" applyBorder="1" applyAlignment="1">
      <protection locked="0" hidden="1"/>
    </xf>
    <xf numFmtId="0" fontId="0" fillId="9" borderId="24" xfId="439" applyFont="1" applyBorder="1" applyAlignment="1">
      <protection locked="0" hidden="1"/>
    </xf>
    <xf numFmtId="0" fontId="0" fillId="9" borderId="14" xfId="439" applyNumberFormat="1" applyFont="1" applyBorder="1" applyAlignment="1">
      <protection locked="0" hidden="1"/>
    </xf>
    <xf numFmtId="3" fontId="0" fillId="9" borderId="24" xfId="439" applyNumberFormat="1" applyFont="1" applyBorder="1" applyAlignment="1">
      <protection locked="0" hidden="1"/>
    </xf>
    <xf numFmtId="164" fontId="0" fillId="9" borderId="22" xfId="439" applyNumberFormat="1" applyFont="1" applyBorder="1" applyAlignment="1">
      <protection locked="0" hidden="1"/>
    </xf>
    <xf numFmtId="168" fontId="0" fillId="9" borderId="23" xfId="439" applyNumberFormat="1" applyFont="1" applyBorder="1" applyAlignment="1">
      <protection locked="0" hidden="1"/>
    </xf>
    <xf numFmtId="168" fontId="0" fillId="9" borderId="24" xfId="439" applyNumberFormat="1" applyFont="1" applyBorder="1" applyAlignment="1">
      <protection locked="0" hidden="1"/>
    </xf>
    <xf numFmtId="164" fontId="0" fillId="12" borderId="10" xfId="1841" applyFont="1" applyFill="1" applyBorder="1" applyAlignment="1">
      <alignment vertical="center" wrapText="1"/>
    </xf>
    <xf numFmtId="0" fontId="15" fillId="13" borderId="19" xfId="440" applyFont="1" applyBorder="1">
      <alignment horizontal="left" vertical="center" wrapText="1"/>
      <protection hidden="1"/>
    </xf>
    <xf numFmtId="0" fontId="0" fillId="13" borderId="19" xfId="440" applyFont="1" applyBorder="1">
      <alignment horizontal="left" vertical="center" wrapText="1"/>
      <protection hidden="1"/>
    </xf>
    <xf numFmtId="0" fontId="17" fillId="16" borderId="13" xfId="1852" applyFill="1" applyBorder="1">
      <alignment horizontal="center" wrapText="1"/>
    </xf>
    <xf numFmtId="168" fontId="0" fillId="12" borderId="10" xfId="1853" applyNumberFormat="1" applyFont="1" applyBorder="1">
      <alignment vertical="center" wrapText="1"/>
    </xf>
    <xf numFmtId="3" fontId="0" fillId="12" borderId="14" xfId="1853" applyNumberFormat="1" applyFont="1" applyBorder="1">
      <alignment vertical="center" wrapText="1"/>
    </xf>
    <xf numFmtId="0" fontId="0" fillId="9" borderId="13" xfId="439" applyFont="1" applyBorder="1">
      <alignment vertical="center" wrapText="1"/>
      <protection locked="0" hidden="1"/>
    </xf>
    <xf numFmtId="0" fontId="0" fillId="9" borderId="22" xfId="439" applyFont="1" applyBorder="1">
      <alignment vertical="center" wrapText="1"/>
      <protection locked="0" hidden="1"/>
    </xf>
    <xf numFmtId="167" fontId="0" fillId="9" borderId="2" xfId="439" applyNumberFormat="1" applyFont="1">
      <alignment vertical="center" wrapText="1"/>
      <protection locked="0" hidden="1"/>
    </xf>
    <xf numFmtId="3" fontId="0" fillId="12" borderId="2" xfId="1853" applyNumberFormat="1" applyFont="1">
      <alignment vertical="center" wrapText="1"/>
    </xf>
    <xf numFmtId="164" fontId="0" fillId="0" borderId="0" xfId="0" applyNumberFormat="1" applyBorder="1"/>
    <xf numFmtId="167" fontId="0" fillId="12" borderId="2" xfId="1853" applyNumberFormat="1" applyFont="1">
      <alignment vertical="center" wrapText="1"/>
    </xf>
    <xf numFmtId="0" fontId="15" fillId="13" borderId="1" xfId="440" applyFont="1">
      <alignment horizontal="left" vertical="center" wrapText="1"/>
      <protection hidden="1"/>
    </xf>
    <xf numFmtId="168" fontId="0" fillId="12" borderId="2" xfId="1853" applyNumberFormat="1" applyFont="1">
      <alignment vertical="center" wrapText="1"/>
    </xf>
    <xf numFmtId="0" fontId="15" fillId="13" borderId="6" xfId="441" applyNumberFormat="1" applyFont="1">
      <alignment vertical="center" wrapText="1"/>
    </xf>
    <xf numFmtId="0" fontId="22" fillId="0" borderId="0" xfId="1842" applyAlignment="1">
      <alignment vertical="center"/>
    </xf>
    <xf numFmtId="164" fontId="0" fillId="9" borderId="14" xfId="1841" applyFont="1" applyFill="1" applyBorder="1" applyAlignment="1" applyProtection="1">
      <alignment vertical="center" wrapText="1"/>
      <protection locked="0" hidden="1"/>
    </xf>
    <xf numFmtId="0" fontId="0" fillId="9" borderId="23" xfId="439" applyFont="1" applyBorder="1">
      <alignment vertical="center" wrapText="1"/>
      <protection locked="0" hidden="1"/>
    </xf>
    <xf numFmtId="164" fontId="0" fillId="9" borderId="23" xfId="1841" applyFont="1" applyFill="1" applyBorder="1" applyAlignment="1" applyProtection="1">
      <alignment vertical="center" wrapText="1"/>
      <protection locked="0" hidden="1"/>
    </xf>
    <xf numFmtId="164" fontId="0" fillId="9" borderId="13" xfId="1841" applyFont="1" applyFill="1" applyBorder="1" applyAlignment="1" applyProtection="1">
      <alignment vertical="center" wrapText="1"/>
      <protection locked="0" hidden="1"/>
    </xf>
    <xf numFmtId="0" fontId="0" fillId="9" borderId="24" xfId="439" applyFont="1" applyBorder="1">
      <alignment vertical="center" wrapText="1"/>
      <protection locked="0" hidden="1"/>
    </xf>
    <xf numFmtId="164" fontId="0" fillId="9" borderId="24" xfId="1841" applyFont="1" applyFill="1" applyBorder="1" applyAlignment="1" applyProtection="1">
      <alignment vertical="center" wrapText="1"/>
      <protection locked="0" hidden="1"/>
    </xf>
    <xf numFmtId="164" fontId="0" fillId="9" borderId="22" xfId="1841" applyFont="1" applyFill="1" applyBorder="1" applyAlignment="1" applyProtection="1">
      <alignment vertical="center" wrapText="1"/>
      <protection locked="0" hidden="1"/>
    </xf>
    <xf numFmtId="168" fontId="0" fillId="9" borderId="23" xfId="1841" applyNumberFormat="1" applyFont="1" applyFill="1" applyBorder="1" applyAlignment="1" applyProtection="1">
      <alignment vertical="center" wrapText="1"/>
      <protection locked="0" hidden="1"/>
    </xf>
    <xf numFmtId="9" fontId="0" fillId="9" borderId="23" xfId="1840" applyFont="1" applyFill="1" applyBorder="1" applyAlignment="1" applyProtection="1">
      <alignment vertical="center" wrapText="1"/>
      <protection locked="0" hidden="1"/>
    </xf>
    <xf numFmtId="9" fontId="0" fillId="9" borderId="13" xfId="1840" applyFont="1" applyFill="1" applyBorder="1" applyAlignment="1" applyProtection="1">
      <alignment vertical="center" wrapText="1"/>
      <protection locked="0" hidden="1"/>
    </xf>
    <xf numFmtId="0" fontId="0" fillId="9" borderId="14" xfId="439" applyFont="1" applyBorder="1">
      <alignment vertical="center" wrapText="1"/>
      <protection locked="0" hidden="1"/>
    </xf>
    <xf numFmtId="168" fontId="0" fillId="9" borderId="14" xfId="1841" applyNumberFormat="1" applyFont="1" applyFill="1" applyBorder="1" applyAlignment="1" applyProtection="1">
      <alignment vertical="center" wrapText="1"/>
      <protection locked="0" hidden="1"/>
    </xf>
    <xf numFmtId="9" fontId="0" fillId="9" borderId="14" xfId="1840" applyFont="1" applyFill="1" applyBorder="1" applyAlignment="1" applyProtection="1">
      <alignment vertical="center" wrapText="1"/>
      <protection locked="0" hidden="1"/>
    </xf>
    <xf numFmtId="0" fontId="18" fillId="0" borderId="0" xfId="1847" applyBorder="1" applyAlignment="1">
      <alignment vertical="center"/>
    </xf>
    <xf numFmtId="3" fontId="0" fillId="12" borderId="10" xfId="1853" applyNumberFormat="1" applyFont="1" applyBorder="1">
      <alignment vertical="center" wrapText="1"/>
    </xf>
    <xf numFmtId="167" fontId="0" fillId="12" borderId="10" xfId="1853" applyNumberFormat="1" applyFont="1" applyBorder="1">
      <alignment vertical="center" wrapText="1"/>
    </xf>
    <xf numFmtId="167" fontId="0" fillId="12" borderId="20" xfId="1853" applyNumberFormat="1" applyFont="1" applyBorder="1">
      <alignment vertical="center" wrapText="1"/>
    </xf>
    <xf numFmtId="3" fontId="0" fillId="12" borderId="25" xfId="1853" applyNumberFormat="1" applyFont="1" applyBorder="1">
      <alignment vertical="center" wrapText="1"/>
    </xf>
    <xf numFmtId="168" fontId="0" fillId="12" borderId="25" xfId="1853" applyNumberFormat="1" applyFont="1" applyBorder="1">
      <alignment vertical="center" wrapText="1"/>
    </xf>
    <xf numFmtId="167" fontId="0" fillId="12" borderId="25" xfId="1853" applyNumberFormat="1" applyFont="1" applyBorder="1">
      <alignment vertical="center" wrapText="1"/>
    </xf>
    <xf numFmtId="3" fontId="0" fillId="9" borderId="23" xfId="439" applyNumberFormat="1" applyFont="1" applyBorder="1">
      <alignment vertical="center" wrapText="1"/>
      <protection locked="0" hidden="1"/>
    </xf>
    <xf numFmtId="167" fontId="0" fillId="9" borderId="13" xfId="439" applyNumberFormat="1" applyFont="1" applyBorder="1">
      <alignment vertical="center" wrapText="1"/>
      <protection locked="0" hidden="1"/>
    </xf>
    <xf numFmtId="167" fontId="0" fillId="9" borderId="14" xfId="439" applyNumberFormat="1" applyFont="1" applyBorder="1">
      <alignment vertical="center" wrapText="1"/>
      <protection locked="0" hidden="1"/>
    </xf>
    <xf numFmtId="164" fontId="0" fillId="9" borderId="14" xfId="439" applyNumberFormat="1" applyFont="1" applyBorder="1">
      <alignment vertical="center" wrapText="1"/>
      <protection locked="0" hidden="1"/>
    </xf>
    <xf numFmtId="167" fontId="0" fillId="9" borderId="24" xfId="439" applyNumberFormat="1" applyFont="1" applyBorder="1">
      <alignment vertical="center" wrapText="1"/>
      <protection locked="0" hidden="1"/>
    </xf>
    <xf numFmtId="0" fontId="22" fillId="0" borderId="0" xfId="1842"/>
    <xf numFmtId="0" fontId="0" fillId="13" borderId="1" xfId="440" applyFont="1">
      <alignment horizontal="left" vertical="center" wrapText="1"/>
      <protection hidden="1"/>
    </xf>
    <xf numFmtId="164" fontId="21" fillId="12" borderId="2" xfId="1853" applyNumberFormat="1">
      <alignment vertical="center" wrapText="1"/>
    </xf>
    <xf numFmtId="164" fontId="21" fillId="13" borderId="6" xfId="441" applyNumberFormat="1" applyFont="1">
      <alignment vertical="center" wrapText="1"/>
    </xf>
    <xf numFmtId="9" fontId="21" fillId="12" borderId="2" xfId="1853" applyNumberFormat="1">
      <alignment vertical="center" wrapText="1"/>
    </xf>
    <xf numFmtId="166" fontId="21" fillId="12" borderId="2" xfId="1853" applyNumberFormat="1">
      <alignment vertical="center" wrapText="1"/>
    </xf>
    <xf numFmtId="9" fontId="0" fillId="9" borderId="13" xfId="1840" applyFont="1" applyFill="1" applyBorder="1" applyAlignment="1" applyProtection="1">
      <protection locked="0" hidden="1"/>
    </xf>
    <xf numFmtId="0" fontId="0" fillId="12" borderId="2" xfId="1853" applyFont="1">
      <alignment vertical="center" wrapText="1"/>
    </xf>
    <xf numFmtId="3" fontId="0" fillId="9" borderId="2" xfId="1846" applyFont="1" applyFill="1" applyBorder="1" applyAlignment="1" applyProtection="1">
      <alignment vertical="center" wrapText="1"/>
      <protection locked="0" hidden="1"/>
    </xf>
    <xf numFmtId="164" fontId="1" fillId="12" borderId="25" xfId="1841" applyFont="1" applyFill="1" applyBorder="1" applyAlignment="1">
      <alignment vertical="center" wrapText="1"/>
    </xf>
    <xf numFmtId="164" fontId="1" fillId="12" borderId="2" xfId="1841" applyFont="1" applyFill="1" applyBorder="1" applyAlignment="1">
      <alignment vertical="center" wrapText="1"/>
    </xf>
    <xf numFmtId="164" fontId="1" fillId="13" borderId="21" xfId="441" applyNumberFormat="1" applyFont="1" applyBorder="1">
      <alignment vertical="center" wrapText="1"/>
    </xf>
    <xf numFmtId="164" fontId="1" fillId="13" borderId="6" xfId="441" applyNumberFormat="1" applyFont="1">
      <alignment vertical="center" wrapText="1"/>
    </xf>
    <xf numFmtId="164" fontId="1" fillId="12" borderId="17" xfId="1841" applyFont="1" applyFill="1" applyBorder="1" applyAlignment="1">
      <alignment vertical="center" wrapText="1"/>
    </xf>
    <xf numFmtId="164" fontId="1" fillId="12" borderId="10" xfId="1853" applyNumberFormat="1" applyFont="1" applyBorder="1">
      <alignment vertical="center" wrapText="1"/>
    </xf>
    <xf numFmtId="0" fontId="0" fillId="12" borderId="2" xfId="1853" applyNumberFormat="1" applyFont="1">
      <alignment vertical="center" wrapText="1"/>
    </xf>
    <xf numFmtId="0" fontId="0" fillId="13" borderId="1" xfId="440" applyFont="1" applyProtection="1">
      <alignment horizontal="left" vertical="center" wrapText="1"/>
    </xf>
    <xf numFmtId="9" fontId="0" fillId="12" borderId="2" xfId="1853" applyNumberFormat="1" applyFont="1">
      <alignment vertical="center" wrapText="1"/>
    </xf>
    <xf numFmtId="169" fontId="0" fillId="12" borderId="2" xfId="1853" applyNumberFormat="1" applyFont="1">
      <alignment vertical="center" wrapText="1"/>
    </xf>
    <xf numFmtId="3" fontId="21" fillId="12" borderId="2" xfId="1853" applyNumberFormat="1" applyFont="1">
      <alignment vertical="center" wrapText="1"/>
    </xf>
    <xf numFmtId="169" fontId="0" fillId="13" borderId="6" xfId="441" applyNumberFormat="1" applyFont="1">
      <alignment vertical="center" wrapText="1"/>
    </xf>
    <xf numFmtId="2" fontId="0" fillId="13" borderId="6" xfId="441" applyNumberFormat="1" applyFont="1">
      <alignment vertical="center" wrapText="1"/>
    </xf>
    <xf numFmtId="0" fontId="0" fillId="13" borderId="1" xfId="440" applyNumberFormat="1" applyFont="1">
      <alignment horizontal="left" vertical="center" wrapText="1"/>
      <protection hidden="1"/>
    </xf>
    <xf numFmtId="9" fontId="0" fillId="9" borderId="2" xfId="439" applyNumberFormat="1" applyFont="1" applyAlignment="1">
      <alignment vertical="center"/>
      <protection locked="0" hidden="1"/>
    </xf>
    <xf numFmtId="164" fontId="21" fillId="12" borderId="2" xfId="1841" applyFont="1" applyFill="1" applyBorder="1" applyAlignment="1">
      <alignment vertical="center" wrapText="1"/>
    </xf>
    <xf numFmtId="169" fontId="0" fillId="0" borderId="0" xfId="0" applyNumberFormat="1"/>
    <xf numFmtId="164" fontId="21" fillId="13" borderId="0" xfId="441" applyNumberFormat="1" applyFont="1" applyBorder="1">
      <alignment vertical="center" wrapText="1"/>
    </xf>
    <xf numFmtId="0" fontId="27" fillId="0" borderId="0" xfId="0" applyFont="1"/>
    <xf numFmtId="0" fontId="2" fillId="0" borderId="0" xfId="1854" applyAlignment="1">
      <alignment horizontal="left" vertical="center" wrapText="1"/>
    </xf>
    <xf numFmtId="0" fontId="0" fillId="0" borderId="0" xfId="0" applyBorder="1" applyAlignment="1">
      <alignment vertical="center" wrapText="1"/>
    </xf>
    <xf numFmtId="0" fontId="0" fillId="0" borderId="0" xfId="0" applyBorder="1" applyAlignment="1">
      <alignment vertical="center"/>
    </xf>
    <xf numFmtId="0" fontId="18" fillId="0" borderId="0" xfId="1847" applyBorder="1">
      <alignment vertical="center" wrapText="1"/>
    </xf>
    <xf numFmtId="0" fontId="17" fillId="14" borderId="13" xfId="1852" applyBorder="1">
      <alignment horizontal="center" wrapText="1"/>
    </xf>
    <xf numFmtId="0" fontId="0" fillId="0" borderId="0" xfId="0" applyBorder="1"/>
    <xf numFmtId="0" fontId="1" fillId="9" borderId="13" xfId="439" applyFont="1" applyBorder="1">
      <alignment vertical="center" wrapText="1"/>
      <protection locked="0" hidden="1"/>
    </xf>
    <xf numFmtId="0" fontId="1" fillId="9" borderId="22" xfId="439" applyFont="1" applyBorder="1">
      <alignment vertical="center" wrapText="1"/>
      <protection locked="0" hidden="1"/>
    </xf>
    <xf numFmtId="0" fontId="1" fillId="13" borderId="19" xfId="440" applyFont="1" applyBorder="1" applyAlignment="1">
      <alignment horizontal="left" vertical="center" wrapText="1" indent="1"/>
      <protection hidden="1"/>
    </xf>
    <xf numFmtId="0" fontId="1" fillId="13" borderId="1" xfId="440" applyFont="1">
      <alignment horizontal="left" vertical="center" wrapText="1"/>
      <protection hidden="1"/>
    </xf>
    <xf numFmtId="0" fontId="0" fillId="0" borderId="0" xfId="0" applyBorder="1" applyAlignment="1">
      <alignment vertical="center" wrapText="1"/>
    </xf>
    <xf numFmtId="0" fontId="0" fillId="0" borderId="0" xfId="0" applyBorder="1" applyAlignment="1">
      <alignment vertical="center"/>
    </xf>
    <xf numFmtId="0" fontId="18" fillId="0" borderId="16" xfId="1847" applyBorder="1" applyAlignment="1">
      <alignment horizontal="left" vertical="center" wrapText="1"/>
    </xf>
    <xf numFmtId="0" fontId="2" fillId="0" borderId="0" xfId="1854" applyBorder="1" applyAlignment="1">
      <alignment vertical="top" wrapText="1"/>
    </xf>
    <xf numFmtId="0" fontId="18" fillId="0" borderId="0" xfId="1847" applyBorder="1">
      <alignment vertical="center" wrapText="1"/>
    </xf>
    <xf numFmtId="0" fontId="16" fillId="9" borderId="14" xfId="439" applyFont="1" applyBorder="1" applyAlignment="1">
      <alignment horizontal="left" vertical="center" wrapText="1"/>
      <protection locked="0" hidden="1"/>
    </xf>
    <xf numFmtId="0" fontId="16" fillId="9" borderId="17" xfId="439" applyFont="1" applyBorder="1" applyAlignment="1">
      <alignment horizontal="left" vertical="center" wrapText="1"/>
      <protection locked="0" hidden="1"/>
    </xf>
    <xf numFmtId="0" fontId="16" fillId="9" borderId="10" xfId="439" applyFont="1" applyBorder="1" applyAlignment="1">
      <alignment horizontal="left" vertical="center" wrapText="1"/>
      <protection locked="0" hidden="1"/>
    </xf>
    <xf numFmtId="0" fontId="17" fillId="14" borderId="2" xfId="1852">
      <alignment horizontal="center" wrapText="1"/>
    </xf>
    <xf numFmtId="0" fontId="18" fillId="0" borderId="16" xfId="1847" applyBorder="1">
      <alignment vertical="center" wrapText="1"/>
    </xf>
    <xf numFmtId="0" fontId="17" fillId="14" borderId="14" xfId="1852" applyBorder="1">
      <alignment horizontal="center" wrapText="1"/>
    </xf>
    <xf numFmtId="0" fontId="17" fillId="14" borderId="17" xfId="1852" applyBorder="1">
      <alignment horizontal="center" wrapText="1"/>
    </xf>
    <xf numFmtId="0" fontId="17" fillId="14" borderId="10" xfId="1852" applyBorder="1">
      <alignment horizontal="center" wrapText="1"/>
    </xf>
    <xf numFmtId="0" fontId="18" fillId="0" borderId="12" xfId="1847" applyBorder="1">
      <alignment vertical="center" wrapText="1"/>
    </xf>
    <xf numFmtId="0" fontId="17" fillId="16" borderId="14" xfId="1852" applyFill="1" applyBorder="1">
      <alignment horizontal="center" wrapText="1"/>
    </xf>
    <xf numFmtId="0" fontId="17" fillId="16" borderId="10" xfId="1852" applyFill="1" applyBorder="1">
      <alignment horizontal="center" wrapText="1"/>
    </xf>
    <xf numFmtId="0" fontId="18" fillId="0" borderId="9" xfId="1847" applyBorder="1">
      <alignment vertical="center" wrapText="1"/>
    </xf>
    <xf numFmtId="0" fontId="17" fillId="14" borderId="13" xfId="1852" applyBorder="1">
      <alignment horizontal="center" wrapText="1"/>
    </xf>
    <xf numFmtId="0" fontId="18" fillId="0" borderId="8" xfId="1847" applyBorder="1" applyAlignment="1">
      <alignment wrapText="1"/>
    </xf>
    <xf numFmtId="0" fontId="18" fillId="0" borderId="0" xfId="1847" applyBorder="1" applyAlignment="1">
      <alignment wrapText="1"/>
    </xf>
    <xf numFmtId="0" fontId="17" fillId="15" borderId="2" xfId="1852" applyFill="1">
      <alignment horizontal="center" wrapText="1"/>
    </xf>
    <xf numFmtId="0" fontId="0" fillId="0" borderId="8" xfId="0" applyBorder="1" applyAlignment="1"/>
    <xf numFmtId="0" fontId="0" fillId="0" borderId="0" xfId="0" applyBorder="1" applyAlignment="1"/>
    <xf numFmtId="0" fontId="18" fillId="0" borderId="8" xfId="1847" applyBorder="1">
      <alignment vertical="center" wrapText="1"/>
    </xf>
    <xf numFmtId="165" fontId="0" fillId="0" borderId="0" xfId="0" applyNumberFormat="1" applyAlignment="1">
      <alignment horizontal="left"/>
    </xf>
  </cellXfs>
  <cellStyles count="1857">
    <cellStyle name="Bad" xfId="433" builtinId="27" hidden="1"/>
    <cellStyle name="Calculation" xfId="436" builtinId="22" hidden="1"/>
    <cellStyle name="Calculation" xfId="1853" builtinId="22" customBuiltin="1"/>
    <cellStyle name="Check Cell" xfId="437" builtinId="23" hidden="1"/>
    <cellStyle name="Col Total" xfId="441" xr:uid="{00000000-0005-0000-0000-000006000000}"/>
    <cellStyle name="Column Header" xfId="1852" xr:uid="{00000000-0005-0000-0000-000007000000}"/>
    <cellStyle name="Comma" xfId="1846" builtinId="3" customBuiltin="1"/>
    <cellStyle name="Comma [0]" xfId="1848" builtinId="6" hidden="1"/>
    <cellStyle name="Currency" xfId="1841" builtinId="4" customBuiltin="1"/>
    <cellStyle name="Currency [0]" xfId="1849" builtinId="7" hidden="1"/>
    <cellStyle name="Explanatory Text" xfId="1847" builtinId="53" customBuiltin="1"/>
    <cellStyle name="Explanatory Text Sm" xfId="1856" xr:uid="{00000000-0005-0000-0000-00000D000000}"/>
    <cellStyle name="Followed Hyperlink" xfId="76" builtinId="9" hidden="1"/>
    <cellStyle name="Followed Hyperlink" xfId="80" builtinId="9" hidden="1"/>
    <cellStyle name="Followed Hyperlink" xfId="84" builtinId="9" hidden="1"/>
    <cellStyle name="Followed Hyperlink" xfId="88" builtinId="9" hidden="1"/>
    <cellStyle name="Followed Hyperlink" xfId="92" builtinId="9" hidden="1"/>
    <cellStyle name="Followed Hyperlink" xfId="96" builtinId="9" hidden="1"/>
    <cellStyle name="Followed Hyperlink" xfId="100" builtinId="9" hidden="1"/>
    <cellStyle name="Followed Hyperlink" xfId="104" builtinId="9" hidden="1"/>
    <cellStyle name="Followed Hyperlink" xfId="108" builtinId="9" hidden="1"/>
    <cellStyle name="Followed Hyperlink" xfId="112" builtinId="9" hidden="1"/>
    <cellStyle name="Followed Hyperlink" xfId="116" builtinId="9" hidden="1"/>
    <cellStyle name="Followed Hyperlink" xfId="122" builtinId="9" hidden="1"/>
    <cellStyle name="Followed Hyperlink" xfId="126" builtinId="9" hidden="1"/>
    <cellStyle name="Followed Hyperlink" xfId="130" builtinId="9" hidden="1"/>
    <cellStyle name="Followed Hyperlink" xfId="134" builtinId="9" hidden="1"/>
    <cellStyle name="Followed Hyperlink" xfId="138" builtinId="9" hidden="1"/>
    <cellStyle name="Followed Hyperlink" xfId="142" builtinId="9" hidden="1"/>
    <cellStyle name="Followed Hyperlink" xfId="146" builtinId="9" hidden="1"/>
    <cellStyle name="Followed Hyperlink" xfId="150" builtinId="9" hidden="1"/>
    <cellStyle name="Followed Hyperlink" xfId="154" builtinId="9" hidden="1"/>
    <cellStyle name="Followed Hyperlink" xfId="158" builtinId="9" hidden="1"/>
    <cellStyle name="Followed Hyperlink" xfId="162" builtinId="9" hidden="1"/>
    <cellStyle name="Followed Hyperlink" xfId="166" builtinId="9" hidden="1"/>
    <cellStyle name="Followed Hyperlink" xfId="170" builtinId="9" hidden="1"/>
    <cellStyle name="Followed Hyperlink" xfId="174" builtinId="9" hidden="1"/>
    <cellStyle name="Followed Hyperlink" xfId="178" builtinId="9" hidden="1"/>
    <cellStyle name="Followed Hyperlink" xfId="182" builtinId="9" hidden="1"/>
    <cellStyle name="Followed Hyperlink" xfId="186" builtinId="9" hidden="1"/>
    <cellStyle name="Followed Hyperlink" xfId="190" builtinId="9" hidden="1"/>
    <cellStyle name="Followed Hyperlink" xfId="194" builtinId="9" hidden="1"/>
    <cellStyle name="Followed Hyperlink" xfId="198" builtinId="9" hidden="1"/>
    <cellStyle name="Followed Hyperlink" xfId="202" builtinId="9" hidden="1"/>
    <cellStyle name="Followed Hyperlink" xfId="206" builtinId="9" hidden="1"/>
    <cellStyle name="Followed Hyperlink" xfId="210" builtinId="9" hidden="1"/>
    <cellStyle name="Followed Hyperlink" xfId="214" builtinId="9" hidden="1"/>
    <cellStyle name="Followed Hyperlink" xfId="218" builtinId="9" hidden="1"/>
    <cellStyle name="Followed Hyperlink" xfId="222" builtinId="9" hidden="1"/>
    <cellStyle name="Followed Hyperlink" xfId="226" builtinId="9" hidden="1"/>
    <cellStyle name="Followed Hyperlink" xfId="230" builtinId="9" hidden="1"/>
    <cellStyle name="Followed Hyperlink" xfId="234" builtinId="9" hidden="1"/>
    <cellStyle name="Followed Hyperlink" xfId="238" builtinId="9" hidden="1"/>
    <cellStyle name="Followed Hyperlink" xfId="242" builtinId="9" hidden="1"/>
    <cellStyle name="Followed Hyperlink" xfId="246" builtinId="9" hidden="1"/>
    <cellStyle name="Followed Hyperlink" xfId="250" builtinId="9" hidden="1"/>
    <cellStyle name="Followed Hyperlink" xfId="254" builtinId="9" hidden="1"/>
    <cellStyle name="Followed Hyperlink" xfId="258" builtinId="9" hidden="1"/>
    <cellStyle name="Followed Hyperlink" xfId="262" builtinId="9" hidden="1"/>
    <cellStyle name="Followed Hyperlink" xfId="266" builtinId="9" hidden="1"/>
    <cellStyle name="Followed Hyperlink" xfId="270" builtinId="9" hidden="1"/>
    <cellStyle name="Followed Hyperlink" xfId="274" builtinId="9" hidden="1"/>
    <cellStyle name="Followed Hyperlink" xfId="278" builtinId="9" hidden="1"/>
    <cellStyle name="Followed Hyperlink" xfId="282" builtinId="9" hidden="1"/>
    <cellStyle name="Followed Hyperlink" xfId="286" builtinId="9" hidden="1"/>
    <cellStyle name="Followed Hyperlink" xfId="290" builtinId="9" hidden="1"/>
    <cellStyle name="Followed Hyperlink" xfId="294" builtinId="9" hidden="1"/>
    <cellStyle name="Followed Hyperlink" xfId="298" builtinId="9" hidden="1"/>
    <cellStyle name="Followed Hyperlink" xfId="302" builtinId="9" hidden="1"/>
    <cellStyle name="Followed Hyperlink" xfId="306" builtinId="9" hidden="1"/>
    <cellStyle name="Followed Hyperlink" xfId="310" builtinId="9" hidden="1"/>
    <cellStyle name="Followed Hyperlink" xfId="314" builtinId="9" hidden="1"/>
    <cellStyle name="Followed Hyperlink" xfId="318" builtinId="9" hidden="1"/>
    <cellStyle name="Followed Hyperlink" xfId="322" builtinId="9" hidden="1"/>
    <cellStyle name="Followed Hyperlink" xfId="326" builtinId="9" hidden="1"/>
    <cellStyle name="Followed Hyperlink" xfId="330" builtinId="9" hidden="1"/>
    <cellStyle name="Followed Hyperlink" xfId="334" builtinId="9" hidden="1"/>
    <cellStyle name="Followed Hyperlink" xfId="338" builtinId="9" hidden="1"/>
    <cellStyle name="Followed Hyperlink" xfId="342" builtinId="9" hidden="1"/>
    <cellStyle name="Followed Hyperlink" xfId="346" builtinId="9" hidden="1"/>
    <cellStyle name="Followed Hyperlink" xfId="350" builtinId="9" hidden="1"/>
    <cellStyle name="Followed Hyperlink" xfId="354" builtinId="9" hidden="1"/>
    <cellStyle name="Followed Hyperlink" xfId="358" builtinId="9" hidden="1"/>
    <cellStyle name="Followed Hyperlink" xfId="362" builtinId="9" hidden="1"/>
    <cellStyle name="Followed Hyperlink" xfId="366" builtinId="9" hidden="1"/>
    <cellStyle name="Followed Hyperlink" xfId="370" builtinId="9" hidden="1"/>
    <cellStyle name="Followed Hyperlink" xfId="374" builtinId="9" hidden="1"/>
    <cellStyle name="Followed Hyperlink" xfId="378" builtinId="9" hidden="1"/>
    <cellStyle name="Followed Hyperlink" xfId="382" builtinId="9" hidden="1"/>
    <cellStyle name="Followed Hyperlink" xfId="386" builtinId="9" hidden="1"/>
    <cellStyle name="Followed Hyperlink" xfId="390" builtinId="9" hidden="1"/>
    <cellStyle name="Followed Hyperlink" xfId="394" builtinId="9" hidden="1"/>
    <cellStyle name="Followed Hyperlink" xfId="398" builtinId="9" hidden="1"/>
    <cellStyle name="Followed Hyperlink" xfId="402" builtinId="9" hidden="1"/>
    <cellStyle name="Followed Hyperlink" xfId="406" builtinId="9" hidden="1"/>
    <cellStyle name="Followed Hyperlink" xfId="410" builtinId="9" hidden="1"/>
    <cellStyle name="Followed Hyperlink" xfId="414" builtinId="9" hidden="1"/>
    <cellStyle name="Followed Hyperlink" xfId="418" builtinId="9" hidden="1"/>
    <cellStyle name="Followed Hyperlink" xfId="422" builtinId="9" hidden="1"/>
    <cellStyle name="Followed Hyperlink" xfId="426" builtinId="9" hidden="1"/>
    <cellStyle name="Followed Hyperlink" xfId="430" builtinId="9" hidden="1"/>
    <cellStyle name="Followed Hyperlink" xfId="443" builtinId="9" hidden="1"/>
    <cellStyle name="Followed Hyperlink" xfId="447" builtinId="9" hidden="1"/>
    <cellStyle name="Followed Hyperlink" xfId="451" builtinId="9" hidden="1"/>
    <cellStyle name="Followed Hyperlink" xfId="455" builtinId="9" hidden="1"/>
    <cellStyle name="Followed Hyperlink" xfId="459" builtinId="9" hidden="1"/>
    <cellStyle name="Followed Hyperlink" xfId="463" builtinId="9" hidden="1"/>
    <cellStyle name="Followed Hyperlink" xfId="467" builtinId="9" hidden="1"/>
    <cellStyle name="Followed Hyperlink" xfId="471" builtinId="9" hidden="1"/>
    <cellStyle name="Followed Hyperlink" xfId="475" builtinId="9" hidden="1"/>
    <cellStyle name="Followed Hyperlink" xfId="479" builtinId="9" hidden="1"/>
    <cellStyle name="Followed Hyperlink" xfId="483" builtinId="9" hidden="1"/>
    <cellStyle name="Followed Hyperlink" xfId="487" builtinId="9" hidden="1"/>
    <cellStyle name="Followed Hyperlink" xfId="491" builtinId="9" hidden="1"/>
    <cellStyle name="Followed Hyperlink" xfId="495" builtinId="9" hidden="1"/>
    <cellStyle name="Followed Hyperlink" xfId="499" builtinId="9" hidden="1"/>
    <cellStyle name="Followed Hyperlink" xfId="503" builtinId="9" hidden="1"/>
    <cellStyle name="Followed Hyperlink" xfId="507" builtinId="9" hidden="1"/>
    <cellStyle name="Followed Hyperlink" xfId="511" builtinId="9" hidden="1"/>
    <cellStyle name="Followed Hyperlink" xfId="515" builtinId="9" hidden="1"/>
    <cellStyle name="Followed Hyperlink" xfId="519" builtinId="9" hidden="1"/>
    <cellStyle name="Followed Hyperlink" xfId="523" builtinId="9" hidden="1"/>
    <cellStyle name="Followed Hyperlink" xfId="527" builtinId="9" hidden="1"/>
    <cellStyle name="Followed Hyperlink" xfId="531" builtinId="9" hidden="1"/>
    <cellStyle name="Followed Hyperlink" xfId="535" builtinId="9" hidden="1"/>
    <cellStyle name="Followed Hyperlink" xfId="539" builtinId="9" hidden="1"/>
    <cellStyle name="Followed Hyperlink" xfId="543" builtinId="9" hidden="1"/>
    <cellStyle name="Followed Hyperlink" xfId="547" builtinId="9" hidden="1"/>
    <cellStyle name="Followed Hyperlink" xfId="551" builtinId="9" hidden="1"/>
    <cellStyle name="Followed Hyperlink" xfId="555" builtinId="9" hidden="1"/>
    <cellStyle name="Followed Hyperlink" xfId="559" builtinId="9" hidden="1"/>
    <cellStyle name="Followed Hyperlink" xfId="563" builtinId="9" hidden="1"/>
    <cellStyle name="Followed Hyperlink" xfId="567" builtinId="9" hidden="1"/>
    <cellStyle name="Followed Hyperlink" xfId="571" builtinId="9" hidden="1"/>
    <cellStyle name="Followed Hyperlink" xfId="575" builtinId="9" hidden="1"/>
    <cellStyle name="Followed Hyperlink" xfId="579" builtinId="9" hidden="1"/>
    <cellStyle name="Followed Hyperlink" xfId="583" builtinId="9" hidden="1"/>
    <cellStyle name="Followed Hyperlink" xfId="587" builtinId="9" hidden="1"/>
    <cellStyle name="Followed Hyperlink" xfId="591" builtinId="9" hidden="1"/>
    <cellStyle name="Followed Hyperlink" xfId="595" builtinId="9" hidden="1"/>
    <cellStyle name="Followed Hyperlink" xfId="599" builtinId="9" hidden="1"/>
    <cellStyle name="Followed Hyperlink" xfId="603" builtinId="9" hidden="1"/>
    <cellStyle name="Followed Hyperlink" xfId="607" builtinId="9" hidden="1"/>
    <cellStyle name="Followed Hyperlink" xfId="611" builtinId="9" hidden="1"/>
    <cellStyle name="Followed Hyperlink" xfId="615" builtinId="9" hidden="1"/>
    <cellStyle name="Followed Hyperlink" xfId="619" builtinId="9" hidden="1"/>
    <cellStyle name="Followed Hyperlink" xfId="623" builtinId="9" hidden="1"/>
    <cellStyle name="Followed Hyperlink" xfId="627" builtinId="9" hidden="1"/>
    <cellStyle name="Followed Hyperlink" xfId="631" builtinId="9" hidden="1"/>
    <cellStyle name="Followed Hyperlink" xfId="635" builtinId="9" hidden="1"/>
    <cellStyle name="Followed Hyperlink" xfId="639" builtinId="9" hidden="1"/>
    <cellStyle name="Followed Hyperlink" xfId="643" builtinId="9" hidden="1"/>
    <cellStyle name="Followed Hyperlink" xfId="647" builtinId="9" hidden="1"/>
    <cellStyle name="Followed Hyperlink" xfId="651" builtinId="9" hidden="1"/>
    <cellStyle name="Followed Hyperlink" xfId="655" builtinId="9" hidden="1"/>
    <cellStyle name="Followed Hyperlink" xfId="659" builtinId="9" hidden="1"/>
    <cellStyle name="Followed Hyperlink" xfId="663" builtinId="9" hidden="1"/>
    <cellStyle name="Followed Hyperlink" xfId="667" builtinId="9" hidden="1"/>
    <cellStyle name="Followed Hyperlink" xfId="671" builtinId="9" hidden="1"/>
    <cellStyle name="Followed Hyperlink" xfId="675" builtinId="9" hidden="1"/>
    <cellStyle name="Followed Hyperlink" xfId="679" builtinId="9" hidden="1"/>
    <cellStyle name="Followed Hyperlink" xfId="683" builtinId="9" hidden="1"/>
    <cellStyle name="Followed Hyperlink" xfId="687" builtinId="9" hidden="1"/>
    <cellStyle name="Followed Hyperlink" xfId="691" builtinId="9" hidden="1"/>
    <cellStyle name="Followed Hyperlink" xfId="695" builtinId="9" hidden="1"/>
    <cellStyle name="Followed Hyperlink" xfId="699" builtinId="9" hidden="1"/>
    <cellStyle name="Followed Hyperlink" xfId="703" builtinId="9" hidden="1"/>
    <cellStyle name="Followed Hyperlink" xfId="707" builtinId="9" hidden="1"/>
    <cellStyle name="Followed Hyperlink" xfId="711" builtinId="9" hidden="1"/>
    <cellStyle name="Followed Hyperlink" xfId="715" builtinId="9" hidden="1"/>
    <cellStyle name="Followed Hyperlink" xfId="719" builtinId="9" hidden="1"/>
    <cellStyle name="Followed Hyperlink" xfId="723" builtinId="9" hidden="1"/>
    <cellStyle name="Followed Hyperlink" xfId="727" builtinId="9" hidden="1"/>
    <cellStyle name="Followed Hyperlink" xfId="731" builtinId="9" hidden="1"/>
    <cellStyle name="Followed Hyperlink" xfId="735" builtinId="9" hidden="1"/>
    <cellStyle name="Followed Hyperlink" xfId="739" builtinId="9" hidden="1"/>
    <cellStyle name="Followed Hyperlink" xfId="743" builtinId="9" hidden="1"/>
    <cellStyle name="Followed Hyperlink" xfId="747" builtinId="9" hidden="1"/>
    <cellStyle name="Followed Hyperlink" xfId="751" builtinId="9" hidden="1"/>
    <cellStyle name="Followed Hyperlink" xfId="755" builtinId="9" hidden="1"/>
    <cellStyle name="Followed Hyperlink" xfId="759" builtinId="9" hidden="1"/>
    <cellStyle name="Followed Hyperlink" xfId="763" builtinId="9" hidden="1"/>
    <cellStyle name="Followed Hyperlink" xfId="767" builtinId="9" hidden="1"/>
    <cellStyle name="Followed Hyperlink" xfId="771" builtinId="9" hidden="1"/>
    <cellStyle name="Followed Hyperlink" xfId="775" builtinId="9" hidden="1"/>
    <cellStyle name="Followed Hyperlink" xfId="779" builtinId="9" hidden="1"/>
    <cellStyle name="Followed Hyperlink" xfId="783" builtinId="9" hidden="1"/>
    <cellStyle name="Followed Hyperlink" xfId="787" builtinId="9" hidden="1"/>
    <cellStyle name="Followed Hyperlink" xfId="791" builtinId="9" hidden="1"/>
    <cellStyle name="Followed Hyperlink" xfId="795" builtinId="9" hidden="1"/>
    <cellStyle name="Followed Hyperlink" xfId="799" builtinId="9" hidden="1"/>
    <cellStyle name="Followed Hyperlink" xfId="803" builtinId="9" hidden="1"/>
    <cellStyle name="Followed Hyperlink" xfId="807" builtinId="9" hidden="1"/>
    <cellStyle name="Followed Hyperlink" xfId="811" builtinId="9" hidden="1"/>
    <cellStyle name="Followed Hyperlink" xfId="815" builtinId="9" hidden="1"/>
    <cellStyle name="Followed Hyperlink" xfId="819" builtinId="9" hidden="1"/>
    <cellStyle name="Followed Hyperlink" xfId="823" builtinId="9" hidden="1"/>
    <cellStyle name="Followed Hyperlink" xfId="827" builtinId="9" hidden="1"/>
    <cellStyle name="Followed Hyperlink" xfId="831" builtinId="9" hidden="1"/>
    <cellStyle name="Followed Hyperlink" xfId="835" builtinId="9" hidden="1"/>
    <cellStyle name="Followed Hyperlink" xfId="839" builtinId="9" hidden="1"/>
    <cellStyle name="Followed Hyperlink" xfId="843" builtinId="9" hidden="1"/>
    <cellStyle name="Followed Hyperlink" xfId="847" builtinId="9" hidden="1"/>
    <cellStyle name="Followed Hyperlink" xfId="851" builtinId="9" hidden="1"/>
    <cellStyle name="Followed Hyperlink" xfId="855" builtinId="9" hidden="1"/>
    <cellStyle name="Followed Hyperlink" xfId="859" builtinId="9" hidden="1"/>
    <cellStyle name="Followed Hyperlink" xfId="863" builtinId="9" hidden="1"/>
    <cellStyle name="Followed Hyperlink" xfId="867" builtinId="9" hidden="1"/>
    <cellStyle name="Followed Hyperlink" xfId="871" builtinId="9" hidden="1"/>
    <cellStyle name="Followed Hyperlink" xfId="875" builtinId="9" hidden="1"/>
    <cellStyle name="Followed Hyperlink" xfId="879" builtinId="9" hidden="1"/>
    <cellStyle name="Followed Hyperlink" xfId="883" builtinId="9" hidden="1"/>
    <cellStyle name="Followed Hyperlink" xfId="887" builtinId="9" hidden="1"/>
    <cellStyle name="Followed Hyperlink" xfId="891" builtinId="9" hidden="1"/>
    <cellStyle name="Followed Hyperlink" xfId="895" builtinId="9" hidden="1"/>
    <cellStyle name="Followed Hyperlink" xfId="899" builtinId="9" hidden="1"/>
    <cellStyle name="Followed Hyperlink" xfId="903" builtinId="9" hidden="1"/>
    <cellStyle name="Followed Hyperlink" xfId="907" builtinId="9" hidden="1"/>
    <cellStyle name="Followed Hyperlink" xfId="911" builtinId="9" hidden="1"/>
    <cellStyle name="Followed Hyperlink" xfId="915" builtinId="9" hidden="1"/>
    <cellStyle name="Followed Hyperlink" xfId="919" builtinId="9" hidden="1"/>
    <cellStyle name="Followed Hyperlink" xfId="923" builtinId="9" hidden="1"/>
    <cellStyle name="Followed Hyperlink" xfId="927" builtinId="9" hidden="1"/>
    <cellStyle name="Followed Hyperlink" xfId="931" builtinId="9" hidden="1"/>
    <cellStyle name="Followed Hyperlink" xfId="935" builtinId="9" hidden="1"/>
    <cellStyle name="Followed Hyperlink" xfId="939" builtinId="9" hidden="1"/>
    <cellStyle name="Followed Hyperlink" xfId="943" builtinId="9" hidden="1"/>
    <cellStyle name="Followed Hyperlink" xfId="947" builtinId="9" hidden="1"/>
    <cellStyle name="Followed Hyperlink" xfId="951" builtinId="9" hidden="1"/>
    <cellStyle name="Followed Hyperlink" xfId="955" builtinId="9" hidden="1"/>
    <cellStyle name="Followed Hyperlink" xfId="959" builtinId="9" hidden="1"/>
    <cellStyle name="Followed Hyperlink" xfId="963" builtinId="9" hidden="1"/>
    <cellStyle name="Followed Hyperlink" xfId="967" builtinId="9" hidden="1"/>
    <cellStyle name="Followed Hyperlink" xfId="971" builtinId="9" hidden="1"/>
    <cellStyle name="Followed Hyperlink" xfId="975" builtinId="9" hidden="1"/>
    <cellStyle name="Followed Hyperlink" xfId="979" builtinId="9" hidden="1"/>
    <cellStyle name="Followed Hyperlink" xfId="983" builtinId="9" hidden="1"/>
    <cellStyle name="Followed Hyperlink" xfId="987" builtinId="9" hidden="1"/>
    <cellStyle name="Followed Hyperlink" xfId="991" builtinId="9" hidden="1"/>
    <cellStyle name="Followed Hyperlink" xfId="995" builtinId="9" hidden="1"/>
    <cellStyle name="Followed Hyperlink" xfId="999" builtinId="9" hidden="1"/>
    <cellStyle name="Followed Hyperlink" xfId="1003" builtinId="9" hidden="1"/>
    <cellStyle name="Followed Hyperlink" xfId="1007" builtinId="9" hidden="1"/>
    <cellStyle name="Followed Hyperlink" xfId="1011" builtinId="9" hidden="1"/>
    <cellStyle name="Followed Hyperlink" xfId="1015" builtinId="9" hidden="1"/>
    <cellStyle name="Followed Hyperlink" xfId="1019" builtinId="9" hidden="1"/>
    <cellStyle name="Followed Hyperlink" xfId="1023" builtinId="9" hidden="1"/>
    <cellStyle name="Followed Hyperlink" xfId="1027" builtinId="9" hidden="1"/>
    <cellStyle name="Followed Hyperlink" xfId="1031" builtinId="9" hidden="1"/>
    <cellStyle name="Followed Hyperlink" xfId="1035" builtinId="9" hidden="1"/>
    <cellStyle name="Followed Hyperlink" xfId="1039" builtinId="9" hidden="1"/>
    <cellStyle name="Followed Hyperlink" xfId="1043" builtinId="9" hidden="1"/>
    <cellStyle name="Followed Hyperlink" xfId="1047" builtinId="9" hidden="1"/>
    <cellStyle name="Followed Hyperlink" xfId="1051" builtinId="9" hidden="1"/>
    <cellStyle name="Followed Hyperlink" xfId="1055" builtinId="9" hidden="1"/>
    <cellStyle name="Followed Hyperlink" xfId="1059" builtinId="9" hidden="1"/>
    <cellStyle name="Followed Hyperlink" xfId="1063" builtinId="9" hidden="1"/>
    <cellStyle name="Followed Hyperlink" xfId="1067" builtinId="9" hidden="1"/>
    <cellStyle name="Followed Hyperlink" xfId="1071" builtinId="9" hidden="1"/>
    <cellStyle name="Followed Hyperlink" xfId="1075" builtinId="9" hidden="1"/>
    <cellStyle name="Followed Hyperlink" xfId="1079" builtinId="9" hidden="1"/>
    <cellStyle name="Followed Hyperlink" xfId="1083" builtinId="9" hidden="1"/>
    <cellStyle name="Followed Hyperlink" xfId="1087" builtinId="9" hidden="1"/>
    <cellStyle name="Followed Hyperlink" xfId="1091" builtinId="9" hidden="1"/>
    <cellStyle name="Followed Hyperlink" xfId="1095" builtinId="9" hidden="1"/>
    <cellStyle name="Followed Hyperlink" xfId="1099" builtinId="9" hidden="1"/>
    <cellStyle name="Followed Hyperlink" xfId="1103" builtinId="9" hidden="1"/>
    <cellStyle name="Followed Hyperlink" xfId="1107" builtinId="9" hidden="1"/>
    <cellStyle name="Followed Hyperlink" xfId="1111" builtinId="9" hidden="1"/>
    <cellStyle name="Followed Hyperlink" xfId="1115" builtinId="9" hidden="1"/>
    <cellStyle name="Followed Hyperlink" xfId="1119" builtinId="9" hidden="1"/>
    <cellStyle name="Followed Hyperlink" xfId="1123" builtinId="9" hidden="1"/>
    <cellStyle name="Followed Hyperlink" xfId="1127" builtinId="9" hidden="1"/>
    <cellStyle name="Followed Hyperlink" xfId="1131" builtinId="9" hidden="1"/>
    <cellStyle name="Followed Hyperlink" xfId="1135" builtinId="9" hidden="1"/>
    <cellStyle name="Followed Hyperlink" xfId="1139" builtinId="9" hidden="1"/>
    <cellStyle name="Followed Hyperlink" xfId="1143" builtinId="9" hidden="1"/>
    <cellStyle name="Followed Hyperlink" xfId="1147" builtinId="9" hidden="1"/>
    <cellStyle name="Followed Hyperlink" xfId="1151" builtinId="9" hidden="1"/>
    <cellStyle name="Followed Hyperlink" xfId="1155" builtinId="9" hidden="1"/>
    <cellStyle name="Followed Hyperlink" xfId="1159" builtinId="9" hidden="1"/>
    <cellStyle name="Followed Hyperlink" xfId="1163" builtinId="9" hidden="1"/>
    <cellStyle name="Followed Hyperlink" xfId="1167" builtinId="9" hidden="1"/>
    <cellStyle name="Followed Hyperlink" xfId="1171" builtinId="9" hidden="1"/>
    <cellStyle name="Followed Hyperlink" xfId="1175" builtinId="9" hidden="1"/>
    <cellStyle name="Followed Hyperlink" xfId="1179" builtinId="9" hidden="1"/>
    <cellStyle name="Followed Hyperlink" xfId="1183" builtinId="9" hidden="1"/>
    <cellStyle name="Followed Hyperlink" xfId="1187" builtinId="9" hidden="1"/>
    <cellStyle name="Followed Hyperlink" xfId="1191" builtinId="9" hidden="1"/>
    <cellStyle name="Followed Hyperlink" xfId="1195" builtinId="9" hidden="1"/>
    <cellStyle name="Followed Hyperlink" xfId="1199" builtinId="9" hidden="1"/>
    <cellStyle name="Followed Hyperlink" xfId="1203" builtinId="9" hidden="1"/>
    <cellStyle name="Followed Hyperlink" xfId="1207" builtinId="9" hidden="1"/>
    <cellStyle name="Followed Hyperlink" xfId="1211" builtinId="9" hidden="1"/>
    <cellStyle name="Followed Hyperlink" xfId="1215" builtinId="9" hidden="1"/>
    <cellStyle name="Followed Hyperlink" xfId="1219" builtinId="9" hidden="1"/>
    <cellStyle name="Followed Hyperlink" xfId="1223" builtinId="9" hidden="1"/>
    <cellStyle name="Followed Hyperlink" xfId="1227" builtinId="9" hidden="1"/>
    <cellStyle name="Followed Hyperlink" xfId="1231" builtinId="9" hidden="1"/>
    <cellStyle name="Followed Hyperlink" xfId="1235" builtinId="9" hidden="1"/>
    <cellStyle name="Followed Hyperlink" xfId="1239" builtinId="9" hidden="1"/>
    <cellStyle name="Followed Hyperlink" xfId="1243" builtinId="9" hidden="1"/>
    <cellStyle name="Followed Hyperlink" xfId="1247" builtinId="9" hidden="1"/>
    <cellStyle name="Followed Hyperlink" xfId="1251" builtinId="9" hidden="1"/>
    <cellStyle name="Followed Hyperlink" xfId="1255" builtinId="9" hidden="1"/>
    <cellStyle name="Followed Hyperlink" xfId="1259" builtinId="9" hidden="1"/>
    <cellStyle name="Followed Hyperlink" xfId="1263" builtinId="9" hidden="1"/>
    <cellStyle name="Followed Hyperlink" xfId="1267" builtinId="9" hidden="1"/>
    <cellStyle name="Followed Hyperlink" xfId="1271" builtinId="9" hidden="1"/>
    <cellStyle name="Followed Hyperlink" xfId="1275" builtinId="9" hidden="1"/>
    <cellStyle name="Followed Hyperlink" xfId="1279" builtinId="9" hidden="1"/>
    <cellStyle name="Followed Hyperlink" xfId="1283" builtinId="9" hidden="1"/>
    <cellStyle name="Followed Hyperlink" xfId="1287" builtinId="9" hidden="1"/>
    <cellStyle name="Followed Hyperlink" xfId="1291" builtinId="9" hidden="1"/>
    <cellStyle name="Followed Hyperlink" xfId="1295" builtinId="9" hidden="1"/>
    <cellStyle name="Followed Hyperlink" xfId="1299" builtinId="9" hidden="1"/>
    <cellStyle name="Followed Hyperlink" xfId="1303" builtinId="9" hidden="1"/>
    <cellStyle name="Followed Hyperlink" xfId="1307" builtinId="9" hidden="1"/>
    <cellStyle name="Followed Hyperlink" xfId="1311" builtinId="9" hidden="1"/>
    <cellStyle name="Followed Hyperlink" xfId="1315" builtinId="9" hidden="1"/>
    <cellStyle name="Followed Hyperlink" xfId="1319" builtinId="9" hidden="1"/>
    <cellStyle name="Followed Hyperlink" xfId="1323" builtinId="9" hidden="1"/>
    <cellStyle name="Followed Hyperlink" xfId="1327" builtinId="9" hidden="1"/>
    <cellStyle name="Followed Hyperlink" xfId="1331" builtinId="9" hidden="1"/>
    <cellStyle name="Followed Hyperlink" xfId="1335" builtinId="9" hidden="1"/>
    <cellStyle name="Followed Hyperlink" xfId="1339" builtinId="9" hidden="1"/>
    <cellStyle name="Followed Hyperlink" xfId="1343" builtinId="9" hidden="1"/>
    <cellStyle name="Followed Hyperlink" xfId="1347" builtinId="9" hidden="1"/>
    <cellStyle name="Followed Hyperlink" xfId="1351" builtinId="9" hidden="1"/>
    <cellStyle name="Followed Hyperlink" xfId="1355" builtinId="9" hidden="1"/>
    <cellStyle name="Followed Hyperlink" xfId="1359" builtinId="9" hidden="1"/>
    <cellStyle name="Followed Hyperlink" xfId="1363" builtinId="9" hidden="1"/>
    <cellStyle name="Followed Hyperlink" xfId="1367" builtinId="9" hidden="1"/>
    <cellStyle name="Followed Hyperlink" xfId="1371" builtinId="9" hidden="1"/>
    <cellStyle name="Followed Hyperlink" xfId="1375" builtinId="9" hidden="1"/>
    <cellStyle name="Followed Hyperlink" xfId="1379" builtinId="9" hidden="1"/>
    <cellStyle name="Followed Hyperlink" xfId="1383" builtinId="9" hidden="1"/>
    <cellStyle name="Followed Hyperlink" xfId="1387" builtinId="9" hidden="1"/>
    <cellStyle name="Followed Hyperlink" xfId="1391" builtinId="9" hidden="1"/>
    <cellStyle name="Followed Hyperlink" xfId="1395" builtinId="9" hidden="1"/>
    <cellStyle name="Followed Hyperlink" xfId="1399" builtinId="9" hidden="1"/>
    <cellStyle name="Followed Hyperlink" xfId="1403" builtinId="9" hidden="1"/>
    <cellStyle name="Followed Hyperlink" xfId="1407" builtinId="9" hidden="1"/>
    <cellStyle name="Followed Hyperlink" xfId="1411" builtinId="9" hidden="1"/>
    <cellStyle name="Followed Hyperlink" xfId="1415" builtinId="9" hidden="1"/>
    <cellStyle name="Followed Hyperlink" xfId="1419" builtinId="9" hidden="1"/>
    <cellStyle name="Followed Hyperlink" xfId="1423" builtinId="9" hidden="1"/>
    <cellStyle name="Followed Hyperlink" xfId="1427" builtinId="9" hidden="1"/>
    <cellStyle name="Followed Hyperlink" xfId="1431" builtinId="9" hidden="1"/>
    <cellStyle name="Followed Hyperlink" xfId="1435" builtinId="9" hidden="1"/>
    <cellStyle name="Followed Hyperlink" xfId="1439" builtinId="9" hidden="1"/>
    <cellStyle name="Followed Hyperlink" xfId="1443" builtinId="9" hidden="1"/>
    <cellStyle name="Followed Hyperlink" xfId="1447" builtinId="9" hidden="1"/>
    <cellStyle name="Followed Hyperlink" xfId="1451" builtinId="9" hidden="1"/>
    <cellStyle name="Followed Hyperlink" xfId="1455" builtinId="9" hidden="1"/>
    <cellStyle name="Followed Hyperlink" xfId="1459" builtinId="9" hidden="1"/>
    <cellStyle name="Followed Hyperlink" xfId="1463" builtinId="9" hidden="1"/>
    <cellStyle name="Followed Hyperlink" xfId="1467" builtinId="9" hidden="1"/>
    <cellStyle name="Followed Hyperlink" xfId="1471" builtinId="9" hidden="1"/>
    <cellStyle name="Followed Hyperlink" xfId="1475" builtinId="9" hidden="1"/>
    <cellStyle name="Followed Hyperlink" xfId="1479" builtinId="9" hidden="1"/>
    <cellStyle name="Followed Hyperlink" xfId="1483" builtinId="9" hidden="1"/>
    <cellStyle name="Followed Hyperlink" xfId="1487" builtinId="9" hidden="1"/>
    <cellStyle name="Followed Hyperlink" xfId="1491" builtinId="9" hidden="1"/>
    <cellStyle name="Followed Hyperlink" xfId="1495" builtinId="9" hidden="1"/>
    <cellStyle name="Followed Hyperlink" xfId="1499" builtinId="9" hidden="1"/>
    <cellStyle name="Followed Hyperlink" xfId="1503" builtinId="9" hidden="1"/>
    <cellStyle name="Followed Hyperlink" xfId="1507" builtinId="9" hidden="1"/>
    <cellStyle name="Followed Hyperlink" xfId="1511" builtinId="9" hidden="1"/>
    <cellStyle name="Followed Hyperlink" xfId="1515" builtinId="9" hidden="1"/>
    <cellStyle name="Followed Hyperlink" xfId="1519" builtinId="9" hidden="1"/>
    <cellStyle name="Followed Hyperlink" xfId="1523" builtinId="9" hidden="1"/>
    <cellStyle name="Followed Hyperlink" xfId="1527" builtinId="9" hidden="1"/>
    <cellStyle name="Followed Hyperlink" xfId="1531" builtinId="9" hidden="1"/>
    <cellStyle name="Followed Hyperlink" xfId="1535" builtinId="9" hidden="1"/>
    <cellStyle name="Followed Hyperlink" xfId="1539" builtinId="9" hidden="1"/>
    <cellStyle name="Followed Hyperlink" xfId="1543" builtinId="9" hidden="1"/>
    <cellStyle name="Followed Hyperlink" xfId="1547" builtinId="9" hidden="1"/>
    <cellStyle name="Followed Hyperlink" xfId="1551" builtinId="9" hidden="1"/>
    <cellStyle name="Followed Hyperlink" xfId="1555" builtinId="9" hidden="1"/>
    <cellStyle name="Followed Hyperlink" xfId="1559" builtinId="9" hidden="1"/>
    <cellStyle name="Followed Hyperlink" xfId="1563" builtinId="9" hidden="1"/>
    <cellStyle name="Followed Hyperlink" xfId="1567" builtinId="9" hidden="1"/>
    <cellStyle name="Followed Hyperlink" xfId="1571" builtinId="9" hidden="1"/>
    <cellStyle name="Followed Hyperlink" xfId="1575" builtinId="9" hidden="1"/>
    <cellStyle name="Followed Hyperlink" xfId="1579" builtinId="9" hidden="1"/>
    <cellStyle name="Followed Hyperlink" xfId="1583" builtinId="9" hidden="1"/>
    <cellStyle name="Followed Hyperlink" xfId="1587" builtinId="9" hidden="1"/>
    <cellStyle name="Followed Hyperlink" xfId="1591" builtinId="9" hidden="1"/>
    <cellStyle name="Followed Hyperlink" xfId="1595" builtinId="9" hidden="1"/>
    <cellStyle name="Followed Hyperlink" xfId="1599" builtinId="9" hidden="1"/>
    <cellStyle name="Followed Hyperlink" xfId="1603" builtinId="9" hidden="1"/>
    <cellStyle name="Followed Hyperlink" xfId="1607" builtinId="9" hidden="1"/>
    <cellStyle name="Followed Hyperlink" xfId="1611" builtinId="9" hidden="1"/>
    <cellStyle name="Followed Hyperlink" xfId="1615" builtinId="9" hidden="1"/>
    <cellStyle name="Followed Hyperlink" xfId="1619" builtinId="9" hidden="1"/>
    <cellStyle name="Followed Hyperlink" xfId="1623" builtinId="9" hidden="1"/>
    <cellStyle name="Followed Hyperlink" xfId="1627" builtinId="9" hidden="1"/>
    <cellStyle name="Followed Hyperlink" xfId="1631" builtinId="9" hidden="1"/>
    <cellStyle name="Followed Hyperlink" xfId="1635" builtinId="9" hidden="1"/>
    <cellStyle name="Followed Hyperlink" xfId="1639" builtinId="9" hidden="1"/>
    <cellStyle name="Followed Hyperlink" xfId="1643" builtinId="9" hidden="1"/>
    <cellStyle name="Followed Hyperlink" xfId="1647" builtinId="9" hidden="1"/>
    <cellStyle name="Followed Hyperlink" xfId="1651" builtinId="9" hidden="1"/>
    <cellStyle name="Followed Hyperlink" xfId="1655" builtinId="9" hidden="1"/>
    <cellStyle name="Followed Hyperlink" xfId="1659" builtinId="9" hidden="1"/>
    <cellStyle name="Followed Hyperlink" xfId="1663" builtinId="9" hidden="1"/>
    <cellStyle name="Followed Hyperlink" xfId="1667" builtinId="9" hidden="1"/>
    <cellStyle name="Followed Hyperlink" xfId="1671" builtinId="9" hidden="1"/>
    <cellStyle name="Followed Hyperlink" xfId="1675" builtinId="9" hidden="1"/>
    <cellStyle name="Followed Hyperlink" xfId="1679" builtinId="9" hidden="1"/>
    <cellStyle name="Followed Hyperlink" xfId="1683" builtinId="9" hidden="1"/>
    <cellStyle name="Followed Hyperlink" xfId="1687" builtinId="9" hidden="1"/>
    <cellStyle name="Followed Hyperlink" xfId="1691" builtinId="9" hidden="1"/>
    <cellStyle name="Followed Hyperlink" xfId="1695" builtinId="9" hidden="1"/>
    <cellStyle name="Followed Hyperlink" xfId="1699" builtinId="9" hidden="1"/>
    <cellStyle name="Followed Hyperlink" xfId="1703" builtinId="9" hidden="1"/>
    <cellStyle name="Followed Hyperlink" xfId="1707" builtinId="9" hidden="1"/>
    <cellStyle name="Followed Hyperlink" xfId="1711" builtinId="9" hidden="1"/>
    <cellStyle name="Followed Hyperlink" xfId="1715" builtinId="9" hidden="1"/>
    <cellStyle name="Followed Hyperlink" xfId="1719" builtinId="9" hidden="1"/>
    <cellStyle name="Followed Hyperlink" xfId="1723" builtinId="9" hidden="1"/>
    <cellStyle name="Followed Hyperlink" xfId="1727" builtinId="9" hidden="1"/>
    <cellStyle name="Followed Hyperlink" xfId="1731" builtinId="9" hidden="1"/>
    <cellStyle name="Followed Hyperlink" xfId="1735" builtinId="9" hidden="1"/>
    <cellStyle name="Followed Hyperlink" xfId="1739" builtinId="9" hidden="1"/>
    <cellStyle name="Followed Hyperlink" xfId="1743" builtinId="9" hidden="1"/>
    <cellStyle name="Followed Hyperlink" xfId="1747" builtinId="9" hidden="1"/>
    <cellStyle name="Followed Hyperlink" xfId="1751" builtinId="9" hidden="1"/>
    <cellStyle name="Followed Hyperlink" xfId="1755" builtinId="9" hidden="1"/>
    <cellStyle name="Followed Hyperlink" xfId="1759" builtinId="9" hidden="1"/>
    <cellStyle name="Followed Hyperlink" xfId="1763" builtinId="9" hidden="1"/>
    <cellStyle name="Followed Hyperlink" xfId="1767" builtinId="9" hidden="1"/>
    <cellStyle name="Followed Hyperlink" xfId="1771" builtinId="9" hidden="1"/>
    <cellStyle name="Followed Hyperlink" xfId="1775" builtinId="9" hidden="1"/>
    <cellStyle name="Followed Hyperlink" xfId="1779" builtinId="9" hidden="1"/>
    <cellStyle name="Followed Hyperlink" xfId="1783" builtinId="9" hidden="1"/>
    <cellStyle name="Followed Hyperlink" xfId="1787" builtinId="9" hidden="1"/>
    <cellStyle name="Followed Hyperlink" xfId="1791" builtinId="9" hidden="1"/>
    <cellStyle name="Followed Hyperlink" xfId="1795" builtinId="9" hidden="1"/>
    <cellStyle name="Followed Hyperlink" xfId="1799" builtinId="9" hidden="1"/>
    <cellStyle name="Followed Hyperlink" xfId="1803" builtinId="9" hidden="1"/>
    <cellStyle name="Followed Hyperlink" xfId="1807" builtinId="9" hidden="1"/>
    <cellStyle name="Followed Hyperlink" xfId="1811" builtinId="9" hidden="1"/>
    <cellStyle name="Followed Hyperlink" xfId="1815" builtinId="9" hidden="1"/>
    <cellStyle name="Followed Hyperlink" xfId="1819" builtinId="9" hidden="1"/>
    <cellStyle name="Followed Hyperlink" xfId="1823" builtinId="9" hidden="1"/>
    <cellStyle name="Followed Hyperlink" xfId="1827" builtinId="9" hidden="1"/>
    <cellStyle name="Followed Hyperlink" xfId="1831" builtinId="9" hidden="1"/>
    <cellStyle name="Followed Hyperlink" xfId="1835" builtinId="9" hidden="1"/>
    <cellStyle name="Followed Hyperlink" xfId="1839" builtinId="9" hidden="1"/>
    <cellStyle name="Followed Hyperlink" xfId="1837" builtinId="9" hidden="1"/>
    <cellStyle name="Followed Hyperlink" xfId="1833" builtinId="9" hidden="1"/>
    <cellStyle name="Followed Hyperlink" xfId="1829" builtinId="9" hidden="1"/>
    <cellStyle name="Followed Hyperlink" xfId="1825" builtinId="9" hidden="1"/>
    <cellStyle name="Followed Hyperlink" xfId="1821" builtinId="9" hidden="1"/>
    <cellStyle name="Followed Hyperlink" xfId="1817" builtinId="9" hidden="1"/>
    <cellStyle name="Followed Hyperlink" xfId="1813" builtinId="9" hidden="1"/>
    <cellStyle name="Followed Hyperlink" xfId="1809" builtinId="9" hidden="1"/>
    <cellStyle name="Followed Hyperlink" xfId="1805" builtinId="9" hidden="1"/>
    <cellStyle name="Followed Hyperlink" xfId="1801" builtinId="9" hidden="1"/>
    <cellStyle name="Followed Hyperlink" xfId="1797" builtinId="9" hidden="1"/>
    <cellStyle name="Followed Hyperlink" xfId="1793" builtinId="9" hidden="1"/>
    <cellStyle name="Followed Hyperlink" xfId="1789" builtinId="9" hidden="1"/>
    <cellStyle name="Followed Hyperlink" xfId="1785" builtinId="9" hidden="1"/>
    <cellStyle name="Followed Hyperlink" xfId="1781" builtinId="9" hidden="1"/>
    <cellStyle name="Followed Hyperlink" xfId="1777" builtinId="9" hidden="1"/>
    <cellStyle name="Followed Hyperlink" xfId="1773" builtinId="9" hidden="1"/>
    <cellStyle name="Followed Hyperlink" xfId="1769" builtinId="9" hidden="1"/>
    <cellStyle name="Followed Hyperlink" xfId="1765" builtinId="9" hidden="1"/>
    <cellStyle name="Followed Hyperlink" xfId="1761" builtinId="9" hidden="1"/>
    <cellStyle name="Followed Hyperlink" xfId="1757" builtinId="9" hidden="1"/>
    <cellStyle name="Followed Hyperlink" xfId="1753" builtinId="9" hidden="1"/>
    <cellStyle name="Followed Hyperlink" xfId="1749" builtinId="9" hidden="1"/>
    <cellStyle name="Followed Hyperlink" xfId="1745" builtinId="9" hidden="1"/>
    <cellStyle name="Followed Hyperlink" xfId="1741" builtinId="9" hidden="1"/>
    <cellStyle name="Followed Hyperlink" xfId="1737" builtinId="9" hidden="1"/>
    <cellStyle name="Followed Hyperlink" xfId="1733" builtinId="9" hidden="1"/>
    <cellStyle name="Followed Hyperlink" xfId="1729" builtinId="9" hidden="1"/>
    <cellStyle name="Followed Hyperlink" xfId="1725" builtinId="9" hidden="1"/>
    <cellStyle name="Followed Hyperlink" xfId="1721" builtinId="9" hidden="1"/>
    <cellStyle name="Followed Hyperlink" xfId="1717" builtinId="9" hidden="1"/>
    <cellStyle name="Followed Hyperlink" xfId="1713" builtinId="9" hidden="1"/>
    <cellStyle name="Followed Hyperlink" xfId="1709" builtinId="9" hidden="1"/>
    <cellStyle name="Followed Hyperlink" xfId="1705" builtinId="9" hidden="1"/>
    <cellStyle name="Followed Hyperlink" xfId="1701" builtinId="9" hidden="1"/>
    <cellStyle name="Followed Hyperlink" xfId="1697" builtinId="9" hidden="1"/>
    <cellStyle name="Followed Hyperlink" xfId="1693" builtinId="9" hidden="1"/>
    <cellStyle name="Followed Hyperlink" xfId="1689" builtinId="9" hidden="1"/>
    <cellStyle name="Followed Hyperlink" xfId="1685" builtinId="9" hidden="1"/>
    <cellStyle name="Followed Hyperlink" xfId="1681" builtinId="9" hidden="1"/>
    <cellStyle name="Followed Hyperlink" xfId="1677" builtinId="9" hidden="1"/>
    <cellStyle name="Followed Hyperlink" xfId="1673" builtinId="9" hidden="1"/>
    <cellStyle name="Followed Hyperlink" xfId="1669" builtinId="9" hidden="1"/>
    <cellStyle name="Followed Hyperlink" xfId="1665" builtinId="9" hidden="1"/>
    <cellStyle name="Followed Hyperlink" xfId="1661" builtinId="9" hidden="1"/>
    <cellStyle name="Followed Hyperlink" xfId="1657" builtinId="9" hidden="1"/>
    <cellStyle name="Followed Hyperlink" xfId="1653" builtinId="9" hidden="1"/>
    <cellStyle name="Followed Hyperlink" xfId="1649" builtinId="9" hidden="1"/>
    <cellStyle name="Followed Hyperlink" xfId="1645" builtinId="9" hidden="1"/>
    <cellStyle name="Followed Hyperlink" xfId="1641" builtinId="9" hidden="1"/>
    <cellStyle name="Followed Hyperlink" xfId="1637" builtinId="9" hidden="1"/>
    <cellStyle name="Followed Hyperlink" xfId="1633" builtinId="9" hidden="1"/>
    <cellStyle name="Followed Hyperlink" xfId="1629" builtinId="9" hidden="1"/>
    <cellStyle name="Followed Hyperlink" xfId="1625" builtinId="9" hidden="1"/>
    <cellStyle name="Followed Hyperlink" xfId="1621" builtinId="9" hidden="1"/>
    <cellStyle name="Followed Hyperlink" xfId="1617" builtinId="9" hidden="1"/>
    <cellStyle name="Followed Hyperlink" xfId="1613" builtinId="9" hidden="1"/>
    <cellStyle name="Followed Hyperlink" xfId="1609" builtinId="9" hidden="1"/>
    <cellStyle name="Followed Hyperlink" xfId="1605" builtinId="9" hidden="1"/>
    <cellStyle name="Followed Hyperlink" xfId="1601" builtinId="9" hidden="1"/>
    <cellStyle name="Followed Hyperlink" xfId="1597" builtinId="9" hidden="1"/>
    <cellStyle name="Followed Hyperlink" xfId="1593" builtinId="9" hidden="1"/>
    <cellStyle name="Followed Hyperlink" xfId="1589" builtinId="9" hidden="1"/>
    <cellStyle name="Followed Hyperlink" xfId="1585" builtinId="9" hidden="1"/>
    <cellStyle name="Followed Hyperlink" xfId="1581" builtinId="9" hidden="1"/>
    <cellStyle name="Followed Hyperlink" xfId="1577" builtinId="9" hidden="1"/>
    <cellStyle name="Followed Hyperlink" xfId="1573" builtinId="9" hidden="1"/>
    <cellStyle name="Followed Hyperlink" xfId="1569" builtinId="9" hidden="1"/>
    <cellStyle name="Followed Hyperlink" xfId="1565" builtinId="9" hidden="1"/>
    <cellStyle name="Followed Hyperlink" xfId="1561" builtinId="9" hidden="1"/>
    <cellStyle name="Followed Hyperlink" xfId="1557" builtinId="9" hidden="1"/>
    <cellStyle name="Followed Hyperlink" xfId="1553" builtinId="9" hidden="1"/>
    <cellStyle name="Followed Hyperlink" xfId="1549" builtinId="9" hidden="1"/>
    <cellStyle name="Followed Hyperlink" xfId="1545" builtinId="9" hidden="1"/>
    <cellStyle name="Followed Hyperlink" xfId="1541" builtinId="9" hidden="1"/>
    <cellStyle name="Followed Hyperlink" xfId="1537" builtinId="9" hidden="1"/>
    <cellStyle name="Followed Hyperlink" xfId="1533" builtinId="9" hidden="1"/>
    <cellStyle name="Followed Hyperlink" xfId="1529" builtinId="9" hidden="1"/>
    <cellStyle name="Followed Hyperlink" xfId="1525" builtinId="9" hidden="1"/>
    <cellStyle name="Followed Hyperlink" xfId="1521" builtinId="9" hidden="1"/>
    <cellStyle name="Followed Hyperlink" xfId="1517" builtinId="9" hidden="1"/>
    <cellStyle name="Followed Hyperlink" xfId="1513" builtinId="9" hidden="1"/>
    <cellStyle name="Followed Hyperlink" xfId="1509" builtinId="9" hidden="1"/>
    <cellStyle name="Followed Hyperlink" xfId="1505" builtinId="9" hidden="1"/>
    <cellStyle name="Followed Hyperlink" xfId="1501" builtinId="9" hidden="1"/>
    <cellStyle name="Followed Hyperlink" xfId="1497" builtinId="9" hidden="1"/>
    <cellStyle name="Followed Hyperlink" xfId="1493" builtinId="9" hidden="1"/>
    <cellStyle name="Followed Hyperlink" xfId="1489" builtinId="9" hidden="1"/>
    <cellStyle name="Followed Hyperlink" xfId="1485" builtinId="9" hidden="1"/>
    <cellStyle name="Followed Hyperlink" xfId="1481" builtinId="9" hidden="1"/>
    <cellStyle name="Followed Hyperlink" xfId="1477" builtinId="9" hidden="1"/>
    <cellStyle name="Followed Hyperlink" xfId="1473" builtinId="9" hidden="1"/>
    <cellStyle name="Followed Hyperlink" xfId="1469" builtinId="9" hidden="1"/>
    <cellStyle name="Followed Hyperlink" xfId="1465" builtinId="9" hidden="1"/>
    <cellStyle name="Followed Hyperlink" xfId="1461" builtinId="9" hidden="1"/>
    <cellStyle name="Followed Hyperlink" xfId="1457" builtinId="9" hidden="1"/>
    <cellStyle name="Followed Hyperlink" xfId="1453" builtinId="9" hidden="1"/>
    <cellStyle name="Followed Hyperlink" xfId="1449" builtinId="9" hidden="1"/>
    <cellStyle name="Followed Hyperlink" xfId="1445" builtinId="9" hidden="1"/>
    <cellStyle name="Followed Hyperlink" xfId="1441" builtinId="9" hidden="1"/>
    <cellStyle name="Followed Hyperlink" xfId="1437" builtinId="9" hidden="1"/>
    <cellStyle name="Followed Hyperlink" xfId="1433" builtinId="9" hidden="1"/>
    <cellStyle name="Followed Hyperlink" xfId="1429" builtinId="9" hidden="1"/>
    <cellStyle name="Followed Hyperlink" xfId="1425" builtinId="9" hidden="1"/>
    <cellStyle name="Followed Hyperlink" xfId="1421" builtinId="9" hidden="1"/>
    <cellStyle name="Followed Hyperlink" xfId="1417" builtinId="9" hidden="1"/>
    <cellStyle name="Followed Hyperlink" xfId="1413" builtinId="9" hidden="1"/>
    <cellStyle name="Followed Hyperlink" xfId="1409" builtinId="9" hidden="1"/>
    <cellStyle name="Followed Hyperlink" xfId="1405" builtinId="9" hidden="1"/>
    <cellStyle name="Followed Hyperlink" xfId="1401" builtinId="9" hidden="1"/>
    <cellStyle name="Followed Hyperlink" xfId="1397" builtinId="9" hidden="1"/>
    <cellStyle name="Followed Hyperlink" xfId="1393" builtinId="9" hidden="1"/>
    <cellStyle name="Followed Hyperlink" xfId="1389" builtinId="9" hidden="1"/>
    <cellStyle name="Followed Hyperlink" xfId="1385" builtinId="9" hidden="1"/>
    <cellStyle name="Followed Hyperlink" xfId="1381" builtinId="9" hidden="1"/>
    <cellStyle name="Followed Hyperlink" xfId="1377" builtinId="9" hidden="1"/>
    <cellStyle name="Followed Hyperlink" xfId="1373" builtinId="9" hidden="1"/>
    <cellStyle name="Followed Hyperlink" xfId="1369" builtinId="9" hidden="1"/>
    <cellStyle name="Followed Hyperlink" xfId="1365" builtinId="9" hidden="1"/>
    <cellStyle name="Followed Hyperlink" xfId="1361" builtinId="9" hidden="1"/>
    <cellStyle name="Followed Hyperlink" xfId="1357" builtinId="9" hidden="1"/>
    <cellStyle name="Followed Hyperlink" xfId="1353" builtinId="9" hidden="1"/>
    <cellStyle name="Followed Hyperlink" xfId="1349" builtinId="9" hidden="1"/>
    <cellStyle name="Followed Hyperlink" xfId="1345" builtinId="9" hidden="1"/>
    <cellStyle name="Followed Hyperlink" xfId="1341" builtinId="9" hidden="1"/>
    <cellStyle name="Followed Hyperlink" xfId="1337" builtinId="9" hidden="1"/>
    <cellStyle name="Followed Hyperlink" xfId="1333" builtinId="9" hidden="1"/>
    <cellStyle name="Followed Hyperlink" xfId="1329" builtinId="9" hidden="1"/>
    <cellStyle name="Followed Hyperlink" xfId="1325" builtinId="9" hidden="1"/>
    <cellStyle name="Followed Hyperlink" xfId="1321" builtinId="9" hidden="1"/>
    <cellStyle name="Followed Hyperlink" xfId="1317" builtinId="9" hidden="1"/>
    <cellStyle name="Followed Hyperlink" xfId="1313" builtinId="9" hidden="1"/>
    <cellStyle name="Followed Hyperlink" xfId="1309" builtinId="9" hidden="1"/>
    <cellStyle name="Followed Hyperlink" xfId="1305" builtinId="9" hidden="1"/>
    <cellStyle name="Followed Hyperlink" xfId="1301" builtinId="9" hidden="1"/>
    <cellStyle name="Followed Hyperlink" xfId="1297" builtinId="9" hidden="1"/>
    <cellStyle name="Followed Hyperlink" xfId="1293" builtinId="9" hidden="1"/>
    <cellStyle name="Followed Hyperlink" xfId="1289" builtinId="9" hidden="1"/>
    <cellStyle name="Followed Hyperlink" xfId="1285" builtinId="9" hidden="1"/>
    <cellStyle name="Followed Hyperlink" xfId="1281" builtinId="9" hidden="1"/>
    <cellStyle name="Followed Hyperlink" xfId="1277" builtinId="9" hidden="1"/>
    <cellStyle name="Followed Hyperlink" xfId="1273" builtinId="9" hidden="1"/>
    <cellStyle name="Followed Hyperlink" xfId="1269" builtinId="9" hidden="1"/>
    <cellStyle name="Followed Hyperlink" xfId="1265" builtinId="9" hidden="1"/>
    <cellStyle name="Followed Hyperlink" xfId="1261" builtinId="9" hidden="1"/>
    <cellStyle name="Followed Hyperlink" xfId="1257" builtinId="9" hidden="1"/>
    <cellStyle name="Followed Hyperlink" xfId="1253" builtinId="9" hidden="1"/>
    <cellStyle name="Followed Hyperlink" xfId="1249" builtinId="9" hidden="1"/>
    <cellStyle name="Followed Hyperlink" xfId="1245" builtinId="9" hidden="1"/>
    <cellStyle name="Followed Hyperlink" xfId="1241" builtinId="9" hidden="1"/>
    <cellStyle name="Followed Hyperlink" xfId="1237" builtinId="9" hidden="1"/>
    <cellStyle name="Followed Hyperlink" xfId="1233" builtinId="9" hidden="1"/>
    <cellStyle name="Followed Hyperlink" xfId="1229" builtinId="9" hidden="1"/>
    <cellStyle name="Followed Hyperlink" xfId="1225" builtinId="9" hidden="1"/>
    <cellStyle name="Followed Hyperlink" xfId="1221" builtinId="9" hidden="1"/>
    <cellStyle name="Followed Hyperlink" xfId="1217" builtinId="9" hidden="1"/>
    <cellStyle name="Followed Hyperlink" xfId="1213" builtinId="9" hidden="1"/>
    <cellStyle name="Followed Hyperlink" xfId="1209" builtinId="9" hidden="1"/>
    <cellStyle name="Followed Hyperlink" xfId="1205" builtinId="9" hidden="1"/>
    <cellStyle name="Followed Hyperlink" xfId="1201" builtinId="9" hidden="1"/>
    <cellStyle name="Followed Hyperlink" xfId="1197" builtinId="9" hidden="1"/>
    <cellStyle name="Followed Hyperlink" xfId="1193" builtinId="9" hidden="1"/>
    <cellStyle name="Followed Hyperlink" xfId="1189" builtinId="9" hidden="1"/>
    <cellStyle name="Followed Hyperlink" xfId="1185" builtinId="9" hidden="1"/>
    <cellStyle name="Followed Hyperlink" xfId="1181" builtinId="9" hidden="1"/>
    <cellStyle name="Followed Hyperlink" xfId="1177" builtinId="9" hidden="1"/>
    <cellStyle name="Followed Hyperlink" xfId="1173" builtinId="9" hidden="1"/>
    <cellStyle name="Followed Hyperlink" xfId="1169" builtinId="9" hidden="1"/>
    <cellStyle name="Followed Hyperlink" xfId="1165" builtinId="9" hidden="1"/>
    <cellStyle name="Followed Hyperlink" xfId="1161" builtinId="9" hidden="1"/>
    <cellStyle name="Followed Hyperlink" xfId="1157" builtinId="9" hidden="1"/>
    <cellStyle name="Followed Hyperlink" xfId="1153" builtinId="9" hidden="1"/>
    <cellStyle name="Followed Hyperlink" xfId="1149" builtinId="9" hidden="1"/>
    <cellStyle name="Followed Hyperlink" xfId="1145" builtinId="9" hidden="1"/>
    <cellStyle name="Followed Hyperlink" xfId="1141" builtinId="9" hidden="1"/>
    <cellStyle name="Followed Hyperlink" xfId="1137" builtinId="9" hidden="1"/>
    <cellStyle name="Followed Hyperlink" xfId="1133" builtinId="9" hidden="1"/>
    <cellStyle name="Followed Hyperlink" xfId="1129" builtinId="9" hidden="1"/>
    <cellStyle name="Followed Hyperlink" xfId="1125" builtinId="9" hidden="1"/>
    <cellStyle name="Followed Hyperlink" xfId="1121" builtinId="9" hidden="1"/>
    <cellStyle name="Followed Hyperlink" xfId="1117" builtinId="9" hidden="1"/>
    <cellStyle name="Followed Hyperlink" xfId="1113" builtinId="9" hidden="1"/>
    <cellStyle name="Followed Hyperlink" xfId="1109" builtinId="9" hidden="1"/>
    <cellStyle name="Followed Hyperlink" xfId="1105" builtinId="9" hidden="1"/>
    <cellStyle name="Followed Hyperlink" xfId="1101" builtinId="9" hidden="1"/>
    <cellStyle name="Followed Hyperlink" xfId="1097" builtinId="9" hidden="1"/>
    <cellStyle name="Followed Hyperlink" xfId="1093" builtinId="9" hidden="1"/>
    <cellStyle name="Followed Hyperlink" xfId="1089" builtinId="9" hidden="1"/>
    <cellStyle name="Followed Hyperlink" xfId="1085" builtinId="9" hidden="1"/>
    <cellStyle name="Followed Hyperlink" xfId="1081" builtinId="9" hidden="1"/>
    <cellStyle name="Followed Hyperlink" xfId="1077" builtinId="9" hidden="1"/>
    <cellStyle name="Followed Hyperlink" xfId="1073" builtinId="9" hidden="1"/>
    <cellStyle name="Followed Hyperlink" xfId="1069" builtinId="9" hidden="1"/>
    <cellStyle name="Followed Hyperlink" xfId="1065" builtinId="9" hidden="1"/>
    <cellStyle name="Followed Hyperlink" xfId="1061" builtinId="9" hidden="1"/>
    <cellStyle name="Followed Hyperlink" xfId="1057" builtinId="9" hidden="1"/>
    <cellStyle name="Followed Hyperlink" xfId="1053" builtinId="9" hidden="1"/>
    <cellStyle name="Followed Hyperlink" xfId="1049" builtinId="9" hidden="1"/>
    <cellStyle name="Followed Hyperlink" xfId="1045" builtinId="9" hidden="1"/>
    <cellStyle name="Followed Hyperlink" xfId="1041" builtinId="9" hidden="1"/>
    <cellStyle name="Followed Hyperlink" xfId="1037" builtinId="9" hidden="1"/>
    <cellStyle name="Followed Hyperlink" xfId="1033" builtinId="9" hidden="1"/>
    <cellStyle name="Followed Hyperlink" xfId="1029" builtinId="9" hidden="1"/>
    <cellStyle name="Followed Hyperlink" xfId="1025" builtinId="9" hidden="1"/>
    <cellStyle name="Followed Hyperlink" xfId="1021" builtinId="9" hidden="1"/>
    <cellStyle name="Followed Hyperlink" xfId="1017" builtinId="9" hidden="1"/>
    <cellStyle name="Followed Hyperlink" xfId="1013" builtinId="9" hidden="1"/>
    <cellStyle name="Followed Hyperlink" xfId="1009" builtinId="9" hidden="1"/>
    <cellStyle name="Followed Hyperlink" xfId="1005" builtinId="9" hidden="1"/>
    <cellStyle name="Followed Hyperlink" xfId="1001" builtinId="9" hidden="1"/>
    <cellStyle name="Followed Hyperlink" xfId="997" builtinId="9" hidden="1"/>
    <cellStyle name="Followed Hyperlink" xfId="993" builtinId="9" hidden="1"/>
    <cellStyle name="Followed Hyperlink" xfId="989" builtinId="9" hidden="1"/>
    <cellStyle name="Followed Hyperlink" xfId="985" builtinId="9" hidden="1"/>
    <cellStyle name="Followed Hyperlink" xfId="981" builtinId="9" hidden="1"/>
    <cellStyle name="Followed Hyperlink" xfId="977" builtinId="9" hidden="1"/>
    <cellStyle name="Followed Hyperlink" xfId="973" builtinId="9" hidden="1"/>
    <cellStyle name="Followed Hyperlink" xfId="969" builtinId="9" hidden="1"/>
    <cellStyle name="Followed Hyperlink" xfId="965" builtinId="9" hidden="1"/>
    <cellStyle name="Followed Hyperlink" xfId="961" builtinId="9" hidden="1"/>
    <cellStyle name="Followed Hyperlink" xfId="957" builtinId="9" hidden="1"/>
    <cellStyle name="Followed Hyperlink" xfId="953" builtinId="9" hidden="1"/>
    <cellStyle name="Followed Hyperlink" xfId="949" builtinId="9" hidden="1"/>
    <cellStyle name="Followed Hyperlink" xfId="945" builtinId="9" hidden="1"/>
    <cellStyle name="Followed Hyperlink" xfId="941" builtinId="9" hidden="1"/>
    <cellStyle name="Followed Hyperlink" xfId="937" builtinId="9" hidden="1"/>
    <cellStyle name="Followed Hyperlink" xfId="933" builtinId="9" hidden="1"/>
    <cellStyle name="Followed Hyperlink" xfId="929" builtinId="9" hidden="1"/>
    <cellStyle name="Followed Hyperlink" xfId="925" builtinId="9" hidden="1"/>
    <cellStyle name="Followed Hyperlink" xfId="921" builtinId="9" hidden="1"/>
    <cellStyle name="Followed Hyperlink" xfId="917" builtinId="9" hidden="1"/>
    <cellStyle name="Followed Hyperlink" xfId="913" builtinId="9" hidden="1"/>
    <cellStyle name="Followed Hyperlink" xfId="909" builtinId="9" hidden="1"/>
    <cellStyle name="Followed Hyperlink" xfId="905" builtinId="9" hidden="1"/>
    <cellStyle name="Followed Hyperlink" xfId="901" builtinId="9" hidden="1"/>
    <cellStyle name="Followed Hyperlink" xfId="897" builtinId="9" hidden="1"/>
    <cellStyle name="Followed Hyperlink" xfId="893" builtinId="9" hidden="1"/>
    <cellStyle name="Followed Hyperlink" xfId="889" builtinId="9" hidden="1"/>
    <cellStyle name="Followed Hyperlink" xfId="885" builtinId="9" hidden="1"/>
    <cellStyle name="Followed Hyperlink" xfId="881" builtinId="9" hidden="1"/>
    <cellStyle name="Followed Hyperlink" xfId="877" builtinId="9" hidden="1"/>
    <cellStyle name="Followed Hyperlink" xfId="873" builtinId="9" hidden="1"/>
    <cellStyle name="Followed Hyperlink" xfId="869" builtinId="9" hidden="1"/>
    <cellStyle name="Followed Hyperlink" xfId="865" builtinId="9" hidden="1"/>
    <cellStyle name="Followed Hyperlink" xfId="861" builtinId="9" hidden="1"/>
    <cellStyle name="Followed Hyperlink" xfId="857" builtinId="9" hidden="1"/>
    <cellStyle name="Followed Hyperlink" xfId="853" builtinId="9" hidden="1"/>
    <cellStyle name="Followed Hyperlink" xfId="849" builtinId="9" hidden="1"/>
    <cellStyle name="Followed Hyperlink" xfId="845" builtinId="9" hidden="1"/>
    <cellStyle name="Followed Hyperlink" xfId="841" builtinId="9" hidden="1"/>
    <cellStyle name="Followed Hyperlink" xfId="837" builtinId="9" hidden="1"/>
    <cellStyle name="Followed Hyperlink" xfId="833" builtinId="9" hidden="1"/>
    <cellStyle name="Followed Hyperlink" xfId="829" builtinId="9" hidden="1"/>
    <cellStyle name="Followed Hyperlink" xfId="825" builtinId="9" hidden="1"/>
    <cellStyle name="Followed Hyperlink" xfId="821" builtinId="9" hidden="1"/>
    <cellStyle name="Followed Hyperlink" xfId="817" builtinId="9" hidden="1"/>
    <cellStyle name="Followed Hyperlink" xfId="813" builtinId="9" hidden="1"/>
    <cellStyle name="Followed Hyperlink" xfId="809" builtinId="9" hidden="1"/>
    <cellStyle name="Followed Hyperlink" xfId="805" builtinId="9" hidden="1"/>
    <cellStyle name="Followed Hyperlink" xfId="801" builtinId="9" hidden="1"/>
    <cellStyle name="Followed Hyperlink" xfId="797" builtinId="9" hidden="1"/>
    <cellStyle name="Followed Hyperlink" xfId="793" builtinId="9" hidden="1"/>
    <cellStyle name="Followed Hyperlink" xfId="789" builtinId="9" hidden="1"/>
    <cellStyle name="Followed Hyperlink" xfId="785" builtinId="9" hidden="1"/>
    <cellStyle name="Followed Hyperlink" xfId="781" builtinId="9" hidden="1"/>
    <cellStyle name="Followed Hyperlink" xfId="777" builtinId="9" hidden="1"/>
    <cellStyle name="Followed Hyperlink" xfId="773" builtinId="9" hidden="1"/>
    <cellStyle name="Followed Hyperlink" xfId="769" builtinId="9" hidden="1"/>
    <cellStyle name="Followed Hyperlink" xfId="765" builtinId="9" hidden="1"/>
    <cellStyle name="Followed Hyperlink" xfId="761" builtinId="9" hidden="1"/>
    <cellStyle name="Followed Hyperlink" xfId="757" builtinId="9" hidden="1"/>
    <cellStyle name="Followed Hyperlink" xfId="753" builtinId="9" hidden="1"/>
    <cellStyle name="Followed Hyperlink" xfId="749" builtinId="9" hidden="1"/>
    <cellStyle name="Followed Hyperlink" xfId="745" builtinId="9" hidden="1"/>
    <cellStyle name="Followed Hyperlink" xfId="741" builtinId="9" hidden="1"/>
    <cellStyle name="Followed Hyperlink" xfId="737" builtinId="9" hidden="1"/>
    <cellStyle name="Followed Hyperlink" xfId="733" builtinId="9" hidden="1"/>
    <cellStyle name="Followed Hyperlink" xfId="729" builtinId="9" hidden="1"/>
    <cellStyle name="Followed Hyperlink" xfId="725" builtinId="9" hidden="1"/>
    <cellStyle name="Followed Hyperlink" xfId="721" builtinId="9" hidden="1"/>
    <cellStyle name="Followed Hyperlink" xfId="717" builtinId="9" hidden="1"/>
    <cellStyle name="Followed Hyperlink" xfId="713" builtinId="9" hidden="1"/>
    <cellStyle name="Followed Hyperlink" xfId="709" builtinId="9" hidden="1"/>
    <cellStyle name="Followed Hyperlink" xfId="705" builtinId="9" hidden="1"/>
    <cellStyle name="Followed Hyperlink" xfId="701" builtinId="9" hidden="1"/>
    <cellStyle name="Followed Hyperlink" xfId="697" builtinId="9" hidden="1"/>
    <cellStyle name="Followed Hyperlink" xfId="693" builtinId="9" hidden="1"/>
    <cellStyle name="Followed Hyperlink" xfId="689" builtinId="9" hidden="1"/>
    <cellStyle name="Followed Hyperlink" xfId="685" builtinId="9" hidden="1"/>
    <cellStyle name="Followed Hyperlink" xfId="681" builtinId="9" hidden="1"/>
    <cellStyle name="Followed Hyperlink" xfId="677" builtinId="9" hidden="1"/>
    <cellStyle name="Followed Hyperlink" xfId="673" builtinId="9" hidden="1"/>
    <cellStyle name="Followed Hyperlink" xfId="669" builtinId="9" hidden="1"/>
    <cellStyle name="Followed Hyperlink" xfId="665" builtinId="9" hidden="1"/>
    <cellStyle name="Followed Hyperlink" xfId="661" builtinId="9" hidden="1"/>
    <cellStyle name="Followed Hyperlink" xfId="657" builtinId="9" hidden="1"/>
    <cellStyle name="Followed Hyperlink" xfId="653" builtinId="9" hidden="1"/>
    <cellStyle name="Followed Hyperlink" xfId="649" builtinId="9" hidden="1"/>
    <cellStyle name="Followed Hyperlink" xfId="645" builtinId="9" hidden="1"/>
    <cellStyle name="Followed Hyperlink" xfId="641" builtinId="9" hidden="1"/>
    <cellStyle name="Followed Hyperlink" xfId="637" builtinId="9" hidden="1"/>
    <cellStyle name="Followed Hyperlink" xfId="633" builtinId="9" hidden="1"/>
    <cellStyle name="Followed Hyperlink" xfId="629" builtinId="9" hidden="1"/>
    <cellStyle name="Followed Hyperlink" xfId="625" builtinId="9" hidden="1"/>
    <cellStyle name="Followed Hyperlink" xfId="621" builtinId="9" hidden="1"/>
    <cellStyle name="Followed Hyperlink" xfId="617" builtinId="9" hidden="1"/>
    <cellStyle name="Followed Hyperlink" xfId="613" builtinId="9" hidden="1"/>
    <cellStyle name="Followed Hyperlink" xfId="609" builtinId="9" hidden="1"/>
    <cellStyle name="Followed Hyperlink" xfId="605" builtinId="9" hidden="1"/>
    <cellStyle name="Followed Hyperlink" xfId="601" builtinId="9" hidden="1"/>
    <cellStyle name="Followed Hyperlink" xfId="597" builtinId="9" hidden="1"/>
    <cellStyle name="Followed Hyperlink" xfId="593" builtinId="9" hidden="1"/>
    <cellStyle name="Followed Hyperlink" xfId="589" builtinId="9" hidden="1"/>
    <cellStyle name="Followed Hyperlink" xfId="585" builtinId="9" hidden="1"/>
    <cellStyle name="Followed Hyperlink" xfId="581" builtinId="9" hidden="1"/>
    <cellStyle name="Followed Hyperlink" xfId="577" builtinId="9" hidden="1"/>
    <cellStyle name="Followed Hyperlink" xfId="573" builtinId="9" hidden="1"/>
    <cellStyle name="Followed Hyperlink" xfId="569" builtinId="9" hidden="1"/>
    <cellStyle name="Followed Hyperlink" xfId="565" builtinId="9" hidden="1"/>
    <cellStyle name="Followed Hyperlink" xfId="561" builtinId="9" hidden="1"/>
    <cellStyle name="Followed Hyperlink" xfId="557" builtinId="9" hidden="1"/>
    <cellStyle name="Followed Hyperlink" xfId="553" builtinId="9" hidden="1"/>
    <cellStyle name="Followed Hyperlink" xfId="549" builtinId="9" hidden="1"/>
    <cellStyle name="Followed Hyperlink" xfId="545" builtinId="9" hidden="1"/>
    <cellStyle name="Followed Hyperlink" xfId="541" builtinId="9" hidden="1"/>
    <cellStyle name="Followed Hyperlink" xfId="537" builtinId="9" hidden="1"/>
    <cellStyle name="Followed Hyperlink" xfId="533" builtinId="9" hidden="1"/>
    <cellStyle name="Followed Hyperlink" xfId="529" builtinId="9" hidden="1"/>
    <cellStyle name="Followed Hyperlink" xfId="525" builtinId="9" hidden="1"/>
    <cellStyle name="Followed Hyperlink" xfId="521" builtinId="9" hidden="1"/>
    <cellStyle name="Followed Hyperlink" xfId="517" builtinId="9" hidden="1"/>
    <cellStyle name="Followed Hyperlink" xfId="513" builtinId="9" hidden="1"/>
    <cellStyle name="Followed Hyperlink" xfId="509" builtinId="9" hidden="1"/>
    <cellStyle name="Followed Hyperlink" xfId="505" builtinId="9" hidden="1"/>
    <cellStyle name="Followed Hyperlink" xfId="501" builtinId="9" hidden="1"/>
    <cellStyle name="Followed Hyperlink" xfId="497" builtinId="9" hidden="1"/>
    <cellStyle name="Followed Hyperlink" xfId="493" builtinId="9" hidden="1"/>
    <cellStyle name="Followed Hyperlink" xfId="489" builtinId="9" hidden="1"/>
    <cellStyle name="Followed Hyperlink" xfId="485" builtinId="9" hidden="1"/>
    <cellStyle name="Followed Hyperlink" xfId="481" builtinId="9" hidden="1"/>
    <cellStyle name="Followed Hyperlink" xfId="477" builtinId="9" hidden="1"/>
    <cellStyle name="Followed Hyperlink" xfId="473" builtinId="9" hidden="1"/>
    <cellStyle name="Followed Hyperlink" xfId="469" builtinId="9" hidden="1"/>
    <cellStyle name="Followed Hyperlink" xfId="465" builtinId="9" hidden="1"/>
    <cellStyle name="Followed Hyperlink" xfId="461" builtinId="9" hidden="1"/>
    <cellStyle name="Followed Hyperlink" xfId="457" builtinId="9" hidden="1"/>
    <cellStyle name="Followed Hyperlink" xfId="453" builtinId="9" hidden="1"/>
    <cellStyle name="Followed Hyperlink" xfId="449" builtinId="9" hidden="1"/>
    <cellStyle name="Followed Hyperlink" xfId="445" builtinId="9" hidden="1"/>
    <cellStyle name="Followed Hyperlink" xfId="432" builtinId="9" hidden="1"/>
    <cellStyle name="Followed Hyperlink" xfId="428" builtinId="9" hidden="1"/>
    <cellStyle name="Followed Hyperlink" xfId="424" builtinId="9" hidden="1"/>
    <cellStyle name="Followed Hyperlink" xfId="420" builtinId="9" hidden="1"/>
    <cellStyle name="Followed Hyperlink" xfId="416" builtinId="9" hidden="1"/>
    <cellStyle name="Followed Hyperlink" xfId="412" builtinId="9" hidden="1"/>
    <cellStyle name="Followed Hyperlink" xfId="408" builtinId="9" hidden="1"/>
    <cellStyle name="Followed Hyperlink" xfId="404" builtinId="9" hidden="1"/>
    <cellStyle name="Followed Hyperlink" xfId="400" builtinId="9" hidden="1"/>
    <cellStyle name="Followed Hyperlink" xfId="396" builtinId="9" hidden="1"/>
    <cellStyle name="Followed Hyperlink" xfId="392" builtinId="9" hidden="1"/>
    <cellStyle name="Followed Hyperlink" xfId="388" builtinId="9" hidden="1"/>
    <cellStyle name="Followed Hyperlink" xfId="384" builtinId="9" hidden="1"/>
    <cellStyle name="Followed Hyperlink" xfId="380" builtinId="9" hidden="1"/>
    <cellStyle name="Followed Hyperlink" xfId="376" builtinId="9" hidden="1"/>
    <cellStyle name="Followed Hyperlink" xfId="372" builtinId="9" hidden="1"/>
    <cellStyle name="Followed Hyperlink" xfId="368" builtinId="9" hidden="1"/>
    <cellStyle name="Followed Hyperlink" xfId="364" builtinId="9" hidden="1"/>
    <cellStyle name="Followed Hyperlink" xfId="360" builtinId="9" hidden="1"/>
    <cellStyle name="Followed Hyperlink" xfId="356" builtinId="9" hidden="1"/>
    <cellStyle name="Followed Hyperlink" xfId="352" builtinId="9" hidden="1"/>
    <cellStyle name="Followed Hyperlink" xfId="348" builtinId="9" hidden="1"/>
    <cellStyle name="Followed Hyperlink" xfId="344" builtinId="9" hidden="1"/>
    <cellStyle name="Followed Hyperlink" xfId="340" builtinId="9" hidden="1"/>
    <cellStyle name="Followed Hyperlink" xfId="336" builtinId="9" hidden="1"/>
    <cellStyle name="Followed Hyperlink" xfId="332" builtinId="9" hidden="1"/>
    <cellStyle name="Followed Hyperlink" xfId="328" builtinId="9" hidden="1"/>
    <cellStyle name="Followed Hyperlink" xfId="324" builtinId="9" hidden="1"/>
    <cellStyle name="Followed Hyperlink" xfId="320" builtinId="9" hidden="1"/>
    <cellStyle name="Followed Hyperlink" xfId="316" builtinId="9" hidden="1"/>
    <cellStyle name="Followed Hyperlink" xfId="312" builtinId="9" hidden="1"/>
    <cellStyle name="Followed Hyperlink" xfId="308" builtinId="9" hidden="1"/>
    <cellStyle name="Followed Hyperlink" xfId="304" builtinId="9" hidden="1"/>
    <cellStyle name="Followed Hyperlink" xfId="300" builtinId="9" hidden="1"/>
    <cellStyle name="Followed Hyperlink" xfId="296" builtinId="9" hidden="1"/>
    <cellStyle name="Followed Hyperlink" xfId="292" builtinId="9" hidden="1"/>
    <cellStyle name="Followed Hyperlink" xfId="288" builtinId="9" hidden="1"/>
    <cellStyle name="Followed Hyperlink" xfId="284" builtinId="9" hidden="1"/>
    <cellStyle name="Followed Hyperlink" xfId="280" builtinId="9" hidden="1"/>
    <cellStyle name="Followed Hyperlink" xfId="276" builtinId="9" hidden="1"/>
    <cellStyle name="Followed Hyperlink" xfId="272" builtinId="9" hidden="1"/>
    <cellStyle name="Followed Hyperlink" xfId="268" builtinId="9" hidden="1"/>
    <cellStyle name="Followed Hyperlink" xfId="264" builtinId="9" hidden="1"/>
    <cellStyle name="Followed Hyperlink" xfId="260" builtinId="9" hidden="1"/>
    <cellStyle name="Followed Hyperlink" xfId="256" builtinId="9" hidden="1"/>
    <cellStyle name="Followed Hyperlink" xfId="252" builtinId="9" hidden="1"/>
    <cellStyle name="Followed Hyperlink" xfId="248" builtinId="9" hidden="1"/>
    <cellStyle name="Followed Hyperlink" xfId="244" builtinId="9" hidden="1"/>
    <cellStyle name="Followed Hyperlink" xfId="240" builtinId="9" hidden="1"/>
    <cellStyle name="Followed Hyperlink" xfId="236" builtinId="9" hidden="1"/>
    <cellStyle name="Followed Hyperlink" xfId="232" builtinId="9" hidden="1"/>
    <cellStyle name="Followed Hyperlink" xfId="228" builtinId="9" hidden="1"/>
    <cellStyle name="Followed Hyperlink" xfId="224" builtinId="9" hidden="1"/>
    <cellStyle name="Followed Hyperlink" xfId="220" builtinId="9" hidden="1"/>
    <cellStyle name="Followed Hyperlink" xfId="216" builtinId="9" hidden="1"/>
    <cellStyle name="Followed Hyperlink" xfId="212" builtinId="9" hidden="1"/>
    <cellStyle name="Followed Hyperlink" xfId="208" builtinId="9" hidden="1"/>
    <cellStyle name="Followed Hyperlink" xfId="204" builtinId="9" hidden="1"/>
    <cellStyle name="Followed Hyperlink" xfId="200" builtinId="9" hidden="1"/>
    <cellStyle name="Followed Hyperlink" xfId="196" builtinId="9" hidden="1"/>
    <cellStyle name="Followed Hyperlink" xfId="192" builtinId="9" hidden="1"/>
    <cellStyle name="Followed Hyperlink" xfId="188" builtinId="9" hidden="1"/>
    <cellStyle name="Followed Hyperlink" xfId="184" builtinId="9" hidden="1"/>
    <cellStyle name="Followed Hyperlink" xfId="180" builtinId="9" hidden="1"/>
    <cellStyle name="Followed Hyperlink" xfId="176" builtinId="9" hidden="1"/>
    <cellStyle name="Followed Hyperlink" xfId="172" builtinId="9" hidden="1"/>
    <cellStyle name="Followed Hyperlink" xfId="168" builtinId="9" hidden="1"/>
    <cellStyle name="Followed Hyperlink" xfId="164" builtinId="9" hidden="1"/>
    <cellStyle name="Followed Hyperlink" xfId="160" builtinId="9" hidden="1"/>
    <cellStyle name="Followed Hyperlink" xfId="156" builtinId="9" hidden="1"/>
    <cellStyle name="Followed Hyperlink" xfId="152" builtinId="9" hidden="1"/>
    <cellStyle name="Followed Hyperlink" xfId="148" builtinId="9" hidden="1"/>
    <cellStyle name="Followed Hyperlink" xfId="144" builtinId="9" hidden="1"/>
    <cellStyle name="Followed Hyperlink" xfId="140" builtinId="9" hidden="1"/>
    <cellStyle name="Followed Hyperlink" xfId="136" builtinId="9" hidden="1"/>
    <cellStyle name="Followed Hyperlink" xfId="132" builtinId="9" hidden="1"/>
    <cellStyle name="Followed Hyperlink" xfId="128" builtinId="9" hidden="1"/>
    <cellStyle name="Followed Hyperlink" xfId="124" builtinId="9" hidden="1"/>
    <cellStyle name="Followed Hyperlink" xfId="118" builtinId="9" hidden="1"/>
    <cellStyle name="Followed Hyperlink" xfId="114" builtinId="9" hidden="1"/>
    <cellStyle name="Followed Hyperlink" xfId="110" builtinId="9" hidden="1"/>
    <cellStyle name="Followed Hyperlink" xfId="106" builtinId="9" hidden="1"/>
    <cellStyle name="Followed Hyperlink" xfId="102" builtinId="9" hidden="1"/>
    <cellStyle name="Followed Hyperlink" xfId="98" builtinId="9" hidden="1"/>
    <cellStyle name="Followed Hyperlink" xfId="94" builtinId="9" hidden="1"/>
    <cellStyle name="Followed Hyperlink" xfId="90" builtinId="9" hidden="1"/>
    <cellStyle name="Followed Hyperlink" xfId="86" builtinId="9" hidden="1"/>
    <cellStyle name="Followed Hyperlink" xfId="82" builtinId="9" hidden="1"/>
    <cellStyle name="Followed Hyperlink" xfId="78" builtinId="9" hidden="1"/>
    <cellStyle name="Followed Hyperlink" xfId="74" builtinId="9" hidden="1"/>
    <cellStyle name="Followed Hyperlink" xfId="26" builtinId="9" hidden="1"/>
    <cellStyle name="Followed Hyperlink" xfId="28" builtinId="9" hidden="1"/>
    <cellStyle name="Followed Hyperlink" xfId="32" builtinId="9" hidden="1"/>
    <cellStyle name="Followed Hyperlink" xfId="34" builtinId="9" hidden="1"/>
    <cellStyle name="Followed Hyperlink" xfId="36" builtinId="9" hidden="1"/>
    <cellStyle name="Followed Hyperlink" xfId="40" builtinId="9" hidden="1"/>
    <cellStyle name="Followed Hyperlink" xfId="42" builtinId="9" hidden="1"/>
    <cellStyle name="Followed Hyperlink" xfId="44" builtinId="9" hidden="1"/>
    <cellStyle name="Followed Hyperlink" xfId="48" builtinId="9" hidden="1"/>
    <cellStyle name="Followed Hyperlink" xfId="50" builtinId="9" hidden="1"/>
    <cellStyle name="Followed Hyperlink" xfId="52" builtinId="9" hidden="1"/>
    <cellStyle name="Followed Hyperlink" xfId="56" builtinId="9" hidden="1"/>
    <cellStyle name="Followed Hyperlink" xfId="58" builtinId="9" hidden="1"/>
    <cellStyle name="Followed Hyperlink" xfId="60" builtinId="9" hidden="1"/>
    <cellStyle name="Followed Hyperlink" xfId="64" builtinId="9" hidden="1"/>
    <cellStyle name="Followed Hyperlink" xfId="66" builtinId="9" hidden="1"/>
    <cellStyle name="Followed Hyperlink" xfId="68" builtinId="9" hidden="1"/>
    <cellStyle name="Followed Hyperlink" xfId="72" builtinId="9" hidden="1"/>
    <cellStyle name="Followed Hyperlink" xfId="70" builtinId="9" hidden="1"/>
    <cellStyle name="Followed Hyperlink" xfId="62" builtinId="9" hidden="1"/>
    <cellStyle name="Followed Hyperlink" xfId="54" builtinId="9" hidden="1"/>
    <cellStyle name="Followed Hyperlink" xfId="46" builtinId="9" hidden="1"/>
    <cellStyle name="Followed Hyperlink" xfId="38" builtinId="9" hidden="1"/>
    <cellStyle name="Followed Hyperlink" xfId="3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4" builtinId="9" hidden="1"/>
    <cellStyle name="Followed Hyperlink" xfId="22" builtinId="9" hidden="1"/>
    <cellStyle name="Followed Hyperlink" xfId="6" builtinId="9" hidden="1"/>
    <cellStyle name="Followed Hyperlink" xfId="8" builtinId="9" hidden="1"/>
    <cellStyle name="Followed Hyperlink" xfId="10" builtinId="9" hidden="1"/>
    <cellStyle name="Followed Hyperlink" xfId="4" builtinId="9" hidden="1"/>
    <cellStyle name="Followed Hyperlink" xfId="2" builtinId="9" hidden="1"/>
    <cellStyle name="Good" xfId="119" builtinId="26" hidden="1"/>
    <cellStyle name="Heading 1" xfId="1844" builtinId="16" customBuiltin="1"/>
    <cellStyle name="Heading 2" xfId="1842" builtinId="17" customBuiltin="1"/>
    <cellStyle name="Heading 4" xfId="1850" builtinId="19"/>
    <cellStyle name="Hyperlink" xfId="650" builtinId="8" hidden="1"/>
    <cellStyle name="Hyperlink" xfId="652" builtinId="8" hidden="1"/>
    <cellStyle name="Hyperlink" xfId="654" builtinId="8" hidden="1"/>
    <cellStyle name="Hyperlink" xfId="658" builtinId="8" hidden="1"/>
    <cellStyle name="Hyperlink" xfId="660" builtinId="8" hidden="1"/>
    <cellStyle name="Hyperlink" xfId="662" builtinId="8" hidden="1"/>
    <cellStyle name="Hyperlink" xfId="666" builtinId="8" hidden="1"/>
    <cellStyle name="Hyperlink" xfId="668" builtinId="8" hidden="1"/>
    <cellStyle name="Hyperlink" xfId="670" builtinId="8" hidden="1"/>
    <cellStyle name="Hyperlink" xfId="674" builtinId="8" hidden="1"/>
    <cellStyle name="Hyperlink" xfId="676" builtinId="8" hidden="1"/>
    <cellStyle name="Hyperlink" xfId="678" builtinId="8" hidden="1"/>
    <cellStyle name="Hyperlink" xfId="682" builtinId="8" hidden="1"/>
    <cellStyle name="Hyperlink" xfId="684" builtinId="8" hidden="1"/>
    <cellStyle name="Hyperlink" xfId="686" builtinId="8" hidden="1"/>
    <cellStyle name="Hyperlink" xfId="690" builtinId="8" hidden="1"/>
    <cellStyle name="Hyperlink" xfId="692" builtinId="8" hidden="1"/>
    <cellStyle name="Hyperlink" xfId="694" builtinId="8" hidden="1"/>
    <cellStyle name="Hyperlink" xfId="698" builtinId="8" hidden="1"/>
    <cellStyle name="Hyperlink" xfId="700" builtinId="8" hidden="1"/>
    <cellStyle name="Hyperlink" xfId="702" builtinId="8" hidden="1"/>
    <cellStyle name="Hyperlink" xfId="706" builtinId="8" hidden="1"/>
    <cellStyle name="Hyperlink" xfId="708" builtinId="8" hidden="1"/>
    <cellStyle name="Hyperlink" xfId="710" builtinId="8" hidden="1"/>
    <cellStyle name="Hyperlink" xfId="714" builtinId="8" hidden="1"/>
    <cellStyle name="Hyperlink" xfId="716" builtinId="8" hidden="1"/>
    <cellStyle name="Hyperlink" xfId="718" builtinId="8" hidden="1"/>
    <cellStyle name="Hyperlink" xfId="722" builtinId="8" hidden="1"/>
    <cellStyle name="Hyperlink" xfId="724" builtinId="8" hidden="1"/>
    <cellStyle name="Hyperlink" xfId="726" builtinId="8" hidden="1"/>
    <cellStyle name="Hyperlink" xfId="730" builtinId="8" hidden="1"/>
    <cellStyle name="Hyperlink" xfId="732" builtinId="8" hidden="1"/>
    <cellStyle name="Hyperlink" xfId="734" builtinId="8" hidden="1"/>
    <cellStyle name="Hyperlink" xfId="738" builtinId="8" hidden="1"/>
    <cellStyle name="Hyperlink" xfId="740" builtinId="8" hidden="1"/>
    <cellStyle name="Hyperlink" xfId="742" builtinId="8" hidden="1"/>
    <cellStyle name="Hyperlink" xfId="746" builtinId="8" hidden="1"/>
    <cellStyle name="Hyperlink" xfId="748" builtinId="8" hidden="1"/>
    <cellStyle name="Hyperlink" xfId="750" builtinId="8" hidden="1"/>
    <cellStyle name="Hyperlink" xfId="754" builtinId="8" hidden="1"/>
    <cellStyle name="Hyperlink" xfId="756" builtinId="8" hidden="1"/>
    <cellStyle name="Hyperlink" xfId="758" builtinId="8" hidden="1"/>
    <cellStyle name="Hyperlink" xfId="762" builtinId="8" hidden="1"/>
    <cellStyle name="Hyperlink" xfId="764" builtinId="8" hidden="1"/>
    <cellStyle name="Hyperlink" xfId="766" builtinId="8" hidden="1"/>
    <cellStyle name="Hyperlink" xfId="770" builtinId="8" hidden="1"/>
    <cellStyle name="Hyperlink" xfId="772" builtinId="8" hidden="1"/>
    <cellStyle name="Hyperlink" xfId="774" builtinId="8" hidden="1"/>
    <cellStyle name="Hyperlink" xfId="778" builtinId="8" hidden="1"/>
    <cellStyle name="Hyperlink" xfId="780" builtinId="8" hidden="1"/>
    <cellStyle name="Hyperlink" xfId="782" builtinId="8" hidden="1"/>
    <cellStyle name="Hyperlink" xfId="786" builtinId="8" hidden="1"/>
    <cellStyle name="Hyperlink" xfId="788" builtinId="8" hidden="1"/>
    <cellStyle name="Hyperlink" xfId="790" builtinId="8" hidden="1"/>
    <cellStyle name="Hyperlink" xfId="794" builtinId="8" hidden="1"/>
    <cellStyle name="Hyperlink" xfId="796" builtinId="8" hidden="1"/>
    <cellStyle name="Hyperlink" xfId="798" builtinId="8" hidden="1"/>
    <cellStyle name="Hyperlink" xfId="802" builtinId="8" hidden="1"/>
    <cellStyle name="Hyperlink" xfId="804" builtinId="8" hidden="1"/>
    <cellStyle name="Hyperlink" xfId="806" builtinId="8" hidden="1"/>
    <cellStyle name="Hyperlink" xfId="810" builtinId="8" hidden="1"/>
    <cellStyle name="Hyperlink" xfId="812" builtinId="8" hidden="1"/>
    <cellStyle name="Hyperlink" xfId="814" builtinId="8" hidden="1"/>
    <cellStyle name="Hyperlink" xfId="818" builtinId="8" hidden="1"/>
    <cellStyle name="Hyperlink" xfId="820" builtinId="8" hidden="1"/>
    <cellStyle name="Hyperlink" xfId="822" builtinId="8" hidden="1"/>
    <cellStyle name="Hyperlink" xfId="826" builtinId="8" hidden="1"/>
    <cellStyle name="Hyperlink" xfId="828" builtinId="8" hidden="1"/>
    <cellStyle name="Hyperlink" xfId="830" builtinId="8" hidden="1"/>
    <cellStyle name="Hyperlink" xfId="834" builtinId="8" hidden="1"/>
    <cellStyle name="Hyperlink" xfId="836" builtinId="8" hidden="1"/>
    <cellStyle name="Hyperlink" xfId="838" builtinId="8" hidden="1"/>
    <cellStyle name="Hyperlink" xfId="842" builtinId="8" hidden="1"/>
    <cellStyle name="Hyperlink" xfId="844" builtinId="8" hidden="1"/>
    <cellStyle name="Hyperlink" xfId="846" builtinId="8" hidden="1"/>
    <cellStyle name="Hyperlink" xfId="850" builtinId="8" hidden="1"/>
    <cellStyle name="Hyperlink" xfId="852" builtinId="8" hidden="1"/>
    <cellStyle name="Hyperlink" xfId="854" builtinId="8" hidden="1"/>
    <cellStyle name="Hyperlink" xfId="858" builtinId="8" hidden="1"/>
    <cellStyle name="Hyperlink" xfId="860" builtinId="8" hidden="1"/>
    <cellStyle name="Hyperlink" xfId="862" builtinId="8" hidden="1"/>
    <cellStyle name="Hyperlink" xfId="866" builtinId="8" hidden="1"/>
    <cellStyle name="Hyperlink" xfId="868" builtinId="8" hidden="1"/>
    <cellStyle name="Hyperlink" xfId="870" builtinId="8" hidden="1"/>
    <cellStyle name="Hyperlink" xfId="874" builtinId="8" hidden="1"/>
    <cellStyle name="Hyperlink" xfId="876" builtinId="8" hidden="1"/>
    <cellStyle name="Hyperlink" xfId="878" builtinId="8" hidden="1"/>
    <cellStyle name="Hyperlink" xfId="882" builtinId="8" hidden="1"/>
    <cellStyle name="Hyperlink" xfId="884" builtinId="8" hidden="1"/>
    <cellStyle name="Hyperlink" xfId="886" builtinId="8" hidden="1"/>
    <cellStyle name="Hyperlink" xfId="890" builtinId="8" hidden="1"/>
    <cellStyle name="Hyperlink" xfId="892" builtinId="8" hidden="1"/>
    <cellStyle name="Hyperlink" xfId="894" builtinId="8" hidden="1"/>
    <cellStyle name="Hyperlink" xfId="898" builtinId="8" hidden="1"/>
    <cellStyle name="Hyperlink" xfId="900" builtinId="8" hidden="1"/>
    <cellStyle name="Hyperlink" xfId="902" builtinId="8" hidden="1"/>
    <cellStyle name="Hyperlink" xfId="906" builtinId="8" hidden="1"/>
    <cellStyle name="Hyperlink" xfId="908" builtinId="8" hidden="1"/>
    <cellStyle name="Hyperlink" xfId="910" builtinId="8" hidden="1"/>
    <cellStyle name="Hyperlink" xfId="914" builtinId="8" hidden="1"/>
    <cellStyle name="Hyperlink" xfId="916" builtinId="8" hidden="1"/>
    <cellStyle name="Hyperlink" xfId="918" builtinId="8" hidden="1"/>
    <cellStyle name="Hyperlink" xfId="922" builtinId="8" hidden="1"/>
    <cellStyle name="Hyperlink" xfId="924" builtinId="8" hidden="1"/>
    <cellStyle name="Hyperlink" xfId="926" builtinId="8" hidden="1"/>
    <cellStyle name="Hyperlink" xfId="930" builtinId="8" hidden="1"/>
    <cellStyle name="Hyperlink" xfId="932" builtinId="8" hidden="1"/>
    <cellStyle name="Hyperlink" xfId="934" builtinId="8" hidden="1"/>
    <cellStyle name="Hyperlink" xfId="938" builtinId="8" hidden="1"/>
    <cellStyle name="Hyperlink" xfId="940" builtinId="8" hidden="1"/>
    <cellStyle name="Hyperlink" xfId="942" builtinId="8" hidden="1"/>
    <cellStyle name="Hyperlink" xfId="946" builtinId="8" hidden="1"/>
    <cellStyle name="Hyperlink" xfId="948" builtinId="8" hidden="1"/>
    <cellStyle name="Hyperlink" xfId="950" builtinId="8" hidden="1"/>
    <cellStyle name="Hyperlink" xfId="954" builtinId="8" hidden="1"/>
    <cellStyle name="Hyperlink" xfId="956" builtinId="8" hidden="1"/>
    <cellStyle name="Hyperlink" xfId="958" builtinId="8" hidden="1"/>
    <cellStyle name="Hyperlink" xfId="962" builtinId="8" hidden="1"/>
    <cellStyle name="Hyperlink" xfId="964" builtinId="8" hidden="1"/>
    <cellStyle name="Hyperlink" xfId="966" builtinId="8" hidden="1"/>
    <cellStyle name="Hyperlink" xfId="970" builtinId="8" hidden="1"/>
    <cellStyle name="Hyperlink" xfId="972" builtinId="8" hidden="1"/>
    <cellStyle name="Hyperlink" xfId="974" builtinId="8" hidden="1"/>
    <cellStyle name="Hyperlink" xfId="978" builtinId="8" hidden="1"/>
    <cellStyle name="Hyperlink" xfId="980" builtinId="8" hidden="1"/>
    <cellStyle name="Hyperlink" xfId="982" builtinId="8" hidden="1"/>
    <cellStyle name="Hyperlink" xfId="986" builtinId="8" hidden="1"/>
    <cellStyle name="Hyperlink" xfId="988" builtinId="8" hidden="1"/>
    <cellStyle name="Hyperlink" xfId="990" builtinId="8" hidden="1"/>
    <cellStyle name="Hyperlink" xfId="994" builtinId="8" hidden="1"/>
    <cellStyle name="Hyperlink" xfId="996" builtinId="8" hidden="1"/>
    <cellStyle name="Hyperlink" xfId="998" builtinId="8" hidden="1"/>
    <cellStyle name="Hyperlink" xfId="1002" builtinId="8" hidden="1"/>
    <cellStyle name="Hyperlink" xfId="1004" builtinId="8" hidden="1"/>
    <cellStyle name="Hyperlink" xfId="1006" builtinId="8" hidden="1"/>
    <cellStyle name="Hyperlink" xfId="1010" builtinId="8" hidden="1"/>
    <cellStyle name="Hyperlink" xfId="1012" builtinId="8" hidden="1"/>
    <cellStyle name="Hyperlink" xfId="1014" builtinId="8" hidden="1"/>
    <cellStyle name="Hyperlink" xfId="1018" builtinId="8" hidden="1"/>
    <cellStyle name="Hyperlink" xfId="1020" builtinId="8" hidden="1"/>
    <cellStyle name="Hyperlink" xfId="1022" builtinId="8" hidden="1"/>
    <cellStyle name="Hyperlink" xfId="1026" builtinId="8" hidden="1"/>
    <cellStyle name="Hyperlink" xfId="1028" builtinId="8" hidden="1"/>
    <cellStyle name="Hyperlink" xfId="1030" builtinId="8" hidden="1"/>
    <cellStyle name="Hyperlink" xfId="1034" builtinId="8" hidden="1"/>
    <cellStyle name="Hyperlink" xfId="1036" builtinId="8" hidden="1"/>
    <cellStyle name="Hyperlink" xfId="1038" builtinId="8" hidden="1"/>
    <cellStyle name="Hyperlink" xfId="1042" builtinId="8" hidden="1"/>
    <cellStyle name="Hyperlink" xfId="1044" builtinId="8" hidden="1"/>
    <cellStyle name="Hyperlink" xfId="1046" builtinId="8" hidden="1"/>
    <cellStyle name="Hyperlink" xfId="1050" builtinId="8" hidden="1"/>
    <cellStyle name="Hyperlink" xfId="1052" builtinId="8" hidden="1"/>
    <cellStyle name="Hyperlink" xfId="1054" builtinId="8" hidden="1"/>
    <cellStyle name="Hyperlink" xfId="1058" builtinId="8" hidden="1"/>
    <cellStyle name="Hyperlink" xfId="1060" builtinId="8" hidden="1"/>
    <cellStyle name="Hyperlink" xfId="1062" builtinId="8" hidden="1"/>
    <cellStyle name="Hyperlink" xfId="1066" builtinId="8" hidden="1"/>
    <cellStyle name="Hyperlink" xfId="1068" builtinId="8" hidden="1"/>
    <cellStyle name="Hyperlink" xfId="1070" builtinId="8" hidden="1"/>
    <cellStyle name="Hyperlink" xfId="1074" builtinId="8" hidden="1"/>
    <cellStyle name="Hyperlink" xfId="1076" builtinId="8" hidden="1"/>
    <cellStyle name="Hyperlink" xfId="1078" builtinId="8" hidden="1"/>
    <cellStyle name="Hyperlink" xfId="1082" builtinId="8" hidden="1"/>
    <cellStyle name="Hyperlink" xfId="1084" builtinId="8" hidden="1"/>
    <cellStyle name="Hyperlink" xfId="1086" builtinId="8" hidden="1"/>
    <cellStyle name="Hyperlink" xfId="1090" builtinId="8" hidden="1"/>
    <cellStyle name="Hyperlink" xfId="1092" builtinId="8" hidden="1"/>
    <cellStyle name="Hyperlink" xfId="1094" builtinId="8" hidden="1"/>
    <cellStyle name="Hyperlink" xfId="1098" builtinId="8" hidden="1"/>
    <cellStyle name="Hyperlink" xfId="1100" builtinId="8" hidden="1"/>
    <cellStyle name="Hyperlink" xfId="1102" builtinId="8" hidden="1"/>
    <cellStyle name="Hyperlink" xfId="1106" builtinId="8" hidden="1"/>
    <cellStyle name="Hyperlink" xfId="1108" builtinId="8" hidden="1"/>
    <cellStyle name="Hyperlink" xfId="1110" builtinId="8" hidden="1"/>
    <cellStyle name="Hyperlink" xfId="1114" builtinId="8" hidden="1"/>
    <cellStyle name="Hyperlink" xfId="1116" builtinId="8" hidden="1"/>
    <cellStyle name="Hyperlink" xfId="1118" builtinId="8" hidden="1"/>
    <cellStyle name="Hyperlink" xfId="1122" builtinId="8" hidden="1"/>
    <cellStyle name="Hyperlink" xfId="1124" builtinId="8" hidden="1"/>
    <cellStyle name="Hyperlink" xfId="1126" builtinId="8" hidden="1"/>
    <cellStyle name="Hyperlink" xfId="1130" builtinId="8" hidden="1"/>
    <cellStyle name="Hyperlink" xfId="1132" builtinId="8" hidden="1"/>
    <cellStyle name="Hyperlink" xfId="1134" builtinId="8" hidden="1"/>
    <cellStyle name="Hyperlink" xfId="1138" builtinId="8" hidden="1"/>
    <cellStyle name="Hyperlink" xfId="1140" builtinId="8" hidden="1"/>
    <cellStyle name="Hyperlink" xfId="1142" builtinId="8" hidden="1"/>
    <cellStyle name="Hyperlink" xfId="1146" builtinId="8" hidden="1"/>
    <cellStyle name="Hyperlink" xfId="1148" builtinId="8" hidden="1"/>
    <cellStyle name="Hyperlink" xfId="1150" builtinId="8" hidden="1"/>
    <cellStyle name="Hyperlink" xfId="1154" builtinId="8" hidden="1"/>
    <cellStyle name="Hyperlink" xfId="1156" builtinId="8" hidden="1"/>
    <cellStyle name="Hyperlink" xfId="1158" builtinId="8" hidden="1"/>
    <cellStyle name="Hyperlink" xfId="1162" builtinId="8" hidden="1"/>
    <cellStyle name="Hyperlink" xfId="1164" builtinId="8" hidden="1"/>
    <cellStyle name="Hyperlink" xfId="1166" builtinId="8" hidden="1"/>
    <cellStyle name="Hyperlink" xfId="1170" builtinId="8" hidden="1"/>
    <cellStyle name="Hyperlink" xfId="1172" builtinId="8" hidden="1"/>
    <cellStyle name="Hyperlink" xfId="1174" builtinId="8" hidden="1"/>
    <cellStyle name="Hyperlink" xfId="1178" builtinId="8" hidden="1"/>
    <cellStyle name="Hyperlink" xfId="1180" builtinId="8" hidden="1"/>
    <cellStyle name="Hyperlink" xfId="1182" builtinId="8" hidden="1"/>
    <cellStyle name="Hyperlink" xfId="1186" builtinId="8" hidden="1"/>
    <cellStyle name="Hyperlink" xfId="1188" builtinId="8" hidden="1"/>
    <cellStyle name="Hyperlink" xfId="1190" builtinId="8" hidden="1"/>
    <cellStyle name="Hyperlink" xfId="1194" builtinId="8" hidden="1"/>
    <cellStyle name="Hyperlink" xfId="1196" builtinId="8" hidden="1"/>
    <cellStyle name="Hyperlink" xfId="1198" builtinId="8" hidden="1"/>
    <cellStyle name="Hyperlink" xfId="1202" builtinId="8" hidden="1"/>
    <cellStyle name="Hyperlink" xfId="1204" builtinId="8" hidden="1"/>
    <cellStyle name="Hyperlink" xfId="1206" builtinId="8" hidden="1"/>
    <cellStyle name="Hyperlink" xfId="1210" builtinId="8" hidden="1"/>
    <cellStyle name="Hyperlink" xfId="1212" builtinId="8" hidden="1"/>
    <cellStyle name="Hyperlink" xfId="1214" builtinId="8" hidden="1"/>
    <cellStyle name="Hyperlink" xfId="1218" builtinId="8" hidden="1"/>
    <cellStyle name="Hyperlink" xfId="1220" builtinId="8" hidden="1"/>
    <cellStyle name="Hyperlink" xfId="1222" builtinId="8" hidden="1"/>
    <cellStyle name="Hyperlink" xfId="1226" builtinId="8" hidden="1"/>
    <cellStyle name="Hyperlink" xfId="1228" builtinId="8" hidden="1"/>
    <cellStyle name="Hyperlink" xfId="1230" builtinId="8" hidden="1"/>
    <cellStyle name="Hyperlink" xfId="1234" builtinId="8" hidden="1"/>
    <cellStyle name="Hyperlink" xfId="1236" builtinId="8" hidden="1"/>
    <cellStyle name="Hyperlink" xfId="1238" builtinId="8" hidden="1"/>
    <cellStyle name="Hyperlink" xfId="1242" builtinId="8" hidden="1"/>
    <cellStyle name="Hyperlink" xfId="1244" builtinId="8" hidden="1"/>
    <cellStyle name="Hyperlink" xfId="1246" builtinId="8" hidden="1"/>
    <cellStyle name="Hyperlink" xfId="1250" builtinId="8" hidden="1"/>
    <cellStyle name="Hyperlink" xfId="1252" builtinId="8" hidden="1"/>
    <cellStyle name="Hyperlink" xfId="1254" builtinId="8" hidden="1"/>
    <cellStyle name="Hyperlink" xfId="1258" builtinId="8" hidden="1"/>
    <cellStyle name="Hyperlink" xfId="1260" builtinId="8" hidden="1"/>
    <cellStyle name="Hyperlink" xfId="1262" builtinId="8" hidden="1"/>
    <cellStyle name="Hyperlink" xfId="1266" builtinId="8" hidden="1"/>
    <cellStyle name="Hyperlink" xfId="1268" builtinId="8" hidden="1"/>
    <cellStyle name="Hyperlink" xfId="1270" builtinId="8" hidden="1"/>
    <cellStyle name="Hyperlink" xfId="1274" builtinId="8" hidden="1"/>
    <cellStyle name="Hyperlink" xfId="1276" builtinId="8" hidden="1"/>
    <cellStyle name="Hyperlink" xfId="1278" builtinId="8" hidden="1"/>
    <cellStyle name="Hyperlink" xfId="1282" builtinId="8" hidden="1"/>
    <cellStyle name="Hyperlink" xfId="1284" builtinId="8" hidden="1"/>
    <cellStyle name="Hyperlink" xfId="1286" builtinId="8" hidden="1"/>
    <cellStyle name="Hyperlink" xfId="1290" builtinId="8" hidden="1"/>
    <cellStyle name="Hyperlink" xfId="1292" builtinId="8" hidden="1"/>
    <cellStyle name="Hyperlink" xfId="1294" builtinId="8" hidden="1"/>
    <cellStyle name="Hyperlink" xfId="1298" builtinId="8" hidden="1"/>
    <cellStyle name="Hyperlink" xfId="1300" builtinId="8" hidden="1"/>
    <cellStyle name="Hyperlink" xfId="1302" builtinId="8" hidden="1"/>
    <cellStyle name="Hyperlink" xfId="1306" builtinId="8" hidden="1"/>
    <cellStyle name="Hyperlink" xfId="1308" builtinId="8" hidden="1"/>
    <cellStyle name="Hyperlink" xfId="1310" builtinId="8" hidden="1"/>
    <cellStyle name="Hyperlink" xfId="1314" builtinId="8" hidden="1"/>
    <cellStyle name="Hyperlink" xfId="1316" builtinId="8" hidden="1"/>
    <cellStyle name="Hyperlink" xfId="1318" builtinId="8" hidden="1"/>
    <cellStyle name="Hyperlink" xfId="1322" builtinId="8" hidden="1"/>
    <cellStyle name="Hyperlink" xfId="1324" builtinId="8" hidden="1"/>
    <cellStyle name="Hyperlink" xfId="1326" builtinId="8" hidden="1"/>
    <cellStyle name="Hyperlink" xfId="1330" builtinId="8" hidden="1"/>
    <cellStyle name="Hyperlink" xfId="1332" builtinId="8" hidden="1"/>
    <cellStyle name="Hyperlink" xfId="1334" builtinId="8" hidden="1"/>
    <cellStyle name="Hyperlink" xfId="1338" builtinId="8" hidden="1"/>
    <cellStyle name="Hyperlink" xfId="1340" builtinId="8" hidden="1"/>
    <cellStyle name="Hyperlink" xfId="1342" builtinId="8" hidden="1"/>
    <cellStyle name="Hyperlink" xfId="1346" builtinId="8" hidden="1"/>
    <cellStyle name="Hyperlink" xfId="1348" builtinId="8" hidden="1"/>
    <cellStyle name="Hyperlink" xfId="1350" builtinId="8" hidden="1"/>
    <cellStyle name="Hyperlink" xfId="1354" builtinId="8" hidden="1"/>
    <cellStyle name="Hyperlink" xfId="1356" builtinId="8" hidden="1"/>
    <cellStyle name="Hyperlink" xfId="1358" builtinId="8" hidden="1"/>
    <cellStyle name="Hyperlink" xfId="1362" builtinId="8" hidden="1"/>
    <cellStyle name="Hyperlink" xfId="1364" builtinId="8" hidden="1"/>
    <cellStyle name="Hyperlink" xfId="1366" builtinId="8" hidden="1"/>
    <cellStyle name="Hyperlink" xfId="1370" builtinId="8" hidden="1"/>
    <cellStyle name="Hyperlink" xfId="1372" builtinId="8" hidden="1"/>
    <cellStyle name="Hyperlink" xfId="1374" builtinId="8" hidden="1"/>
    <cellStyle name="Hyperlink" xfId="1378" builtinId="8" hidden="1"/>
    <cellStyle name="Hyperlink" xfId="1380" builtinId="8" hidden="1"/>
    <cellStyle name="Hyperlink" xfId="1382" builtinId="8" hidden="1"/>
    <cellStyle name="Hyperlink" xfId="1386" builtinId="8" hidden="1"/>
    <cellStyle name="Hyperlink" xfId="1388" builtinId="8" hidden="1"/>
    <cellStyle name="Hyperlink" xfId="1390" builtinId="8" hidden="1"/>
    <cellStyle name="Hyperlink" xfId="1394" builtinId="8" hidden="1"/>
    <cellStyle name="Hyperlink" xfId="1396" builtinId="8" hidden="1"/>
    <cellStyle name="Hyperlink" xfId="1398" builtinId="8" hidden="1"/>
    <cellStyle name="Hyperlink" xfId="1402" builtinId="8" hidden="1"/>
    <cellStyle name="Hyperlink" xfId="1404" builtinId="8" hidden="1"/>
    <cellStyle name="Hyperlink" xfId="1406" builtinId="8" hidden="1"/>
    <cellStyle name="Hyperlink" xfId="1410" builtinId="8" hidden="1"/>
    <cellStyle name="Hyperlink" xfId="1412" builtinId="8" hidden="1"/>
    <cellStyle name="Hyperlink" xfId="1414" builtinId="8" hidden="1"/>
    <cellStyle name="Hyperlink" xfId="1418" builtinId="8" hidden="1"/>
    <cellStyle name="Hyperlink" xfId="1420" builtinId="8" hidden="1"/>
    <cellStyle name="Hyperlink" xfId="1422" builtinId="8" hidden="1"/>
    <cellStyle name="Hyperlink" xfId="1426" builtinId="8" hidden="1"/>
    <cellStyle name="Hyperlink" xfId="1428" builtinId="8" hidden="1"/>
    <cellStyle name="Hyperlink" xfId="1430" builtinId="8" hidden="1"/>
    <cellStyle name="Hyperlink" xfId="1434" builtinId="8" hidden="1"/>
    <cellStyle name="Hyperlink" xfId="1436" builtinId="8" hidden="1"/>
    <cellStyle name="Hyperlink" xfId="1438" builtinId="8" hidden="1"/>
    <cellStyle name="Hyperlink" xfId="1442" builtinId="8" hidden="1"/>
    <cellStyle name="Hyperlink" xfId="1444" builtinId="8" hidden="1"/>
    <cellStyle name="Hyperlink" xfId="1446" builtinId="8" hidden="1"/>
    <cellStyle name="Hyperlink" xfId="1450" builtinId="8" hidden="1"/>
    <cellStyle name="Hyperlink" xfId="1452" builtinId="8" hidden="1"/>
    <cellStyle name="Hyperlink" xfId="1454" builtinId="8" hidden="1"/>
    <cellStyle name="Hyperlink" xfId="1458" builtinId="8" hidden="1"/>
    <cellStyle name="Hyperlink" xfId="1460" builtinId="8" hidden="1"/>
    <cellStyle name="Hyperlink" xfId="1462" builtinId="8" hidden="1"/>
    <cellStyle name="Hyperlink" xfId="1466" builtinId="8" hidden="1"/>
    <cellStyle name="Hyperlink" xfId="1468" builtinId="8" hidden="1"/>
    <cellStyle name="Hyperlink" xfId="1470" builtinId="8" hidden="1"/>
    <cellStyle name="Hyperlink" xfId="1474" builtinId="8" hidden="1"/>
    <cellStyle name="Hyperlink" xfId="1476" builtinId="8" hidden="1"/>
    <cellStyle name="Hyperlink" xfId="1478" builtinId="8" hidden="1"/>
    <cellStyle name="Hyperlink" xfId="1482" builtinId="8" hidden="1"/>
    <cellStyle name="Hyperlink" xfId="1484" builtinId="8" hidden="1"/>
    <cellStyle name="Hyperlink" xfId="1486" builtinId="8" hidden="1"/>
    <cellStyle name="Hyperlink" xfId="1490" builtinId="8" hidden="1"/>
    <cellStyle name="Hyperlink" xfId="1492" builtinId="8" hidden="1"/>
    <cellStyle name="Hyperlink" xfId="1494" builtinId="8" hidden="1"/>
    <cellStyle name="Hyperlink" xfId="1498" builtinId="8" hidden="1"/>
    <cellStyle name="Hyperlink" xfId="1500" builtinId="8" hidden="1"/>
    <cellStyle name="Hyperlink" xfId="1502" builtinId="8" hidden="1"/>
    <cellStyle name="Hyperlink" xfId="1506" builtinId="8" hidden="1"/>
    <cellStyle name="Hyperlink" xfId="1508" builtinId="8" hidden="1"/>
    <cellStyle name="Hyperlink" xfId="1510" builtinId="8" hidden="1"/>
    <cellStyle name="Hyperlink" xfId="1514" builtinId="8" hidden="1"/>
    <cellStyle name="Hyperlink" xfId="1516" builtinId="8" hidden="1"/>
    <cellStyle name="Hyperlink" xfId="1518" builtinId="8" hidden="1"/>
    <cellStyle name="Hyperlink" xfId="1522" builtinId="8" hidden="1"/>
    <cellStyle name="Hyperlink" xfId="1524" builtinId="8" hidden="1"/>
    <cellStyle name="Hyperlink" xfId="1526" builtinId="8" hidden="1"/>
    <cellStyle name="Hyperlink" xfId="1530" builtinId="8" hidden="1"/>
    <cellStyle name="Hyperlink" xfId="1532" builtinId="8" hidden="1"/>
    <cellStyle name="Hyperlink" xfId="1534" builtinId="8" hidden="1"/>
    <cellStyle name="Hyperlink" xfId="1538" builtinId="8" hidden="1"/>
    <cellStyle name="Hyperlink" xfId="1540" builtinId="8" hidden="1"/>
    <cellStyle name="Hyperlink" xfId="1542" builtinId="8" hidden="1"/>
    <cellStyle name="Hyperlink" xfId="1546" builtinId="8" hidden="1"/>
    <cellStyle name="Hyperlink" xfId="1548" builtinId="8" hidden="1"/>
    <cellStyle name="Hyperlink" xfId="1550" builtinId="8" hidden="1"/>
    <cellStyle name="Hyperlink" xfId="1554" builtinId="8" hidden="1"/>
    <cellStyle name="Hyperlink" xfId="1556" builtinId="8" hidden="1"/>
    <cellStyle name="Hyperlink" xfId="1558" builtinId="8" hidden="1"/>
    <cellStyle name="Hyperlink" xfId="1562" builtinId="8" hidden="1"/>
    <cellStyle name="Hyperlink" xfId="1564" builtinId="8" hidden="1"/>
    <cellStyle name="Hyperlink" xfId="1566" builtinId="8" hidden="1"/>
    <cellStyle name="Hyperlink" xfId="1570" builtinId="8" hidden="1"/>
    <cellStyle name="Hyperlink" xfId="1572" builtinId="8" hidden="1"/>
    <cellStyle name="Hyperlink" xfId="1574" builtinId="8" hidden="1"/>
    <cellStyle name="Hyperlink" xfId="1578" builtinId="8" hidden="1"/>
    <cellStyle name="Hyperlink" xfId="1580" builtinId="8" hidden="1"/>
    <cellStyle name="Hyperlink" xfId="1582" builtinId="8" hidden="1"/>
    <cellStyle name="Hyperlink" xfId="1586" builtinId="8" hidden="1"/>
    <cellStyle name="Hyperlink" xfId="1588" builtinId="8" hidden="1"/>
    <cellStyle name="Hyperlink" xfId="1590" builtinId="8" hidden="1"/>
    <cellStyle name="Hyperlink" xfId="1594" builtinId="8" hidden="1"/>
    <cellStyle name="Hyperlink" xfId="1596" builtinId="8" hidden="1"/>
    <cellStyle name="Hyperlink" xfId="1598" builtinId="8" hidden="1"/>
    <cellStyle name="Hyperlink" xfId="1602" builtinId="8" hidden="1"/>
    <cellStyle name="Hyperlink" xfId="1604" builtinId="8" hidden="1"/>
    <cellStyle name="Hyperlink" xfId="1606" builtinId="8" hidden="1"/>
    <cellStyle name="Hyperlink" xfId="1610" builtinId="8" hidden="1"/>
    <cellStyle name="Hyperlink" xfId="1612" builtinId="8" hidden="1"/>
    <cellStyle name="Hyperlink" xfId="1614" builtinId="8" hidden="1"/>
    <cellStyle name="Hyperlink" xfId="1618" builtinId="8" hidden="1"/>
    <cellStyle name="Hyperlink" xfId="1620" builtinId="8" hidden="1"/>
    <cellStyle name="Hyperlink" xfId="1622" builtinId="8" hidden="1"/>
    <cellStyle name="Hyperlink" xfId="1626" builtinId="8" hidden="1"/>
    <cellStyle name="Hyperlink" xfId="1628" builtinId="8" hidden="1"/>
    <cellStyle name="Hyperlink" xfId="1630" builtinId="8" hidden="1"/>
    <cellStyle name="Hyperlink" xfId="1634" builtinId="8" hidden="1"/>
    <cellStyle name="Hyperlink" xfId="1636" builtinId="8" hidden="1"/>
    <cellStyle name="Hyperlink" xfId="1638" builtinId="8" hidden="1"/>
    <cellStyle name="Hyperlink" xfId="1642" builtinId="8" hidden="1"/>
    <cellStyle name="Hyperlink" xfId="1644" builtinId="8" hidden="1"/>
    <cellStyle name="Hyperlink" xfId="1646" builtinId="8" hidden="1"/>
    <cellStyle name="Hyperlink" xfId="1650" builtinId="8" hidden="1"/>
    <cellStyle name="Hyperlink" xfId="1652" builtinId="8" hidden="1"/>
    <cellStyle name="Hyperlink" xfId="1654" builtinId="8" hidden="1"/>
    <cellStyle name="Hyperlink" xfId="1658" builtinId="8" hidden="1"/>
    <cellStyle name="Hyperlink" xfId="1660" builtinId="8" hidden="1"/>
    <cellStyle name="Hyperlink" xfId="1662" builtinId="8" hidden="1"/>
    <cellStyle name="Hyperlink" xfId="1666" builtinId="8" hidden="1"/>
    <cellStyle name="Hyperlink" xfId="1668" builtinId="8" hidden="1"/>
    <cellStyle name="Hyperlink" xfId="1670" builtinId="8" hidden="1"/>
    <cellStyle name="Hyperlink" xfId="1674" builtinId="8" hidden="1"/>
    <cellStyle name="Hyperlink" xfId="1676" builtinId="8" hidden="1"/>
    <cellStyle name="Hyperlink" xfId="1678" builtinId="8" hidden="1"/>
    <cellStyle name="Hyperlink" xfId="1682" builtinId="8" hidden="1"/>
    <cellStyle name="Hyperlink" xfId="1684" builtinId="8" hidden="1"/>
    <cellStyle name="Hyperlink" xfId="1686" builtinId="8" hidden="1"/>
    <cellStyle name="Hyperlink" xfId="1690" builtinId="8" hidden="1"/>
    <cellStyle name="Hyperlink" xfId="1692" builtinId="8" hidden="1"/>
    <cellStyle name="Hyperlink" xfId="1694" builtinId="8" hidden="1"/>
    <cellStyle name="Hyperlink" xfId="1698" builtinId="8" hidden="1"/>
    <cellStyle name="Hyperlink" xfId="1700" builtinId="8" hidden="1"/>
    <cellStyle name="Hyperlink" xfId="1702" builtinId="8" hidden="1"/>
    <cellStyle name="Hyperlink" xfId="1706" builtinId="8" hidden="1"/>
    <cellStyle name="Hyperlink" xfId="1708" builtinId="8" hidden="1"/>
    <cellStyle name="Hyperlink" xfId="1710" builtinId="8" hidden="1"/>
    <cellStyle name="Hyperlink" xfId="1714" builtinId="8" hidden="1"/>
    <cellStyle name="Hyperlink" xfId="1716" builtinId="8" hidden="1"/>
    <cellStyle name="Hyperlink" xfId="1718" builtinId="8" hidden="1"/>
    <cellStyle name="Hyperlink" xfId="1722" builtinId="8" hidden="1"/>
    <cellStyle name="Hyperlink" xfId="1724" builtinId="8" hidden="1"/>
    <cellStyle name="Hyperlink" xfId="1726" builtinId="8" hidden="1"/>
    <cellStyle name="Hyperlink" xfId="1730" builtinId="8" hidden="1"/>
    <cellStyle name="Hyperlink" xfId="1732" builtinId="8" hidden="1"/>
    <cellStyle name="Hyperlink" xfId="1734" builtinId="8" hidden="1"/>
    <cellStyle name="Hyperlink" xfId="1738" builtinId="8" hidden="1"/>
    <cellStyle name="Hyperlink" xfId="1740" builtinId="8" hidden="1"/>
    <cellStyle name="Hyperlink" xfId="1742" builtinId="8" hidden="1"/>
    <cellStyle name="Hyperlink" xfId="1746" builtinId="8" hidden="1"/>
    <cellStyle name="Hyperlink" xfId="1748" builtinId="8" hidden="1"/>
    <cellStyle name="Hyperlink" xfId="1750" builtinId="8" hidden="1"/>
    <cellStyle name="Hyperlink" xfId="1754" builtinId="8" hidden="1"/>
    <cellStyle name="Hyperlink" xfId="1756" builtinId="8" hidden="1"/>
    <cellStyle name="Hyperlink" xfId="1758" builtinId="8" hidden="1"/>
    <cellStyle name="Hyperlink" xfId="1762" builtinId="8" hidden="1"/>
    <cellStyle name="Hyperlink" xfId="1764" builtinId="8" hidden="1"/>
    <cellStyle name="Hyperlink" xfId="1766" builtinId="8" hidden="1"/>
    <cellStyle name="Hyperlink" xfId="1770" builtinId="8" hidden="1"/>
    <cellStyle name="Hyperlink" xfId="1772" builtinId="8" hidden="1"/>
    <cellStyle name="Hyperlink" xfId="1774" builtinId="8" hidden="1"/>
    <cellStyle name="Hyperlink" xfId="1778" builtinId="8" hidden="1"/>
    <cellStyle name="Hyperlink" xfId="1780" builtinId="8" hidden="1"/>
    <cellStyle name="Hyperlink" xfId="1782" builtinId="8" hidden="1"/>
    <cellStyle name="Hyperlink" xfId="1786" builtinId="8" hidden="1"/>
    <cellStyle name="Hyperlink" xfId="1788" builtinId="8" hidden="1"/>
    <cellStyle name="Hyperlink" xfId="1790" builtinId="8" hidden="1"/>
    <cellStyle name="Hyperlink" xfId="1794" builtinId="8" hidden="1"/>
    <cellStyle name="Hyperlink" xfId="1796" builtinId="8" hidden="1"/>
    <cellStyle name="Hyperlink" xfId="1798" builtinId="8" hidden="1"/>
    <cellStyle name="Hyperlink" xfId="1802" builtinId="8" hidden="1"/>
    <cellStyle name="Hyperlink" xfId="1804" builtinId="8" hidden="1"/>
    <cellStyle name="Hyperlink" xfId="1806" builtinId="8" hidden="1"/>
    <cellStyle name="Hyperlink" xfId="1810" builtinId="8" hidden="1"/>
    <cellStyle name="Hyperlink" xfId="1812" builtinId="8" hidden="1"/>
    <cellStyle name="Hyperlink" xfId="1814" builtinId="8" hidden="1"/>
    <cellStyle name="Hyperlink" xfId="1818" builtinId="8" hidden="1"/>
    <cellStyle name="Hyperlink" xfId="1820" builtinId="8" hidden="1"/>
    <cellStyle name="Hyperlink" xfId="1822" builtinId="8" hidden="1"/>
    <cellStyle name="Hyperlink" xfId="1826" builtinId="8" hidden="1"/>
    <cellStyle name="Hyperlink" xfId="1828" builtinId="8" hidden="1"/>
    <cellStyle name="Hyperlink" xfId="1830" builtinId="8" hidden="1"/>
    <cellStyle name="Hyperlink" xfId="1834" builtinId="8" hidden="1"/>
    <cellStyle name="Hyperlink" xfId="1836" builtinId="8" hidden="1"/>
    <cellStyle name="Hyperlink" xfId="1838" builtinId="8" hidden="1"/>
    <cellStyle name="Hyperlink" xfId="1832" builtinId="8" hidden="1"/>
    <cellStyle name="Hyperlink" xfId="1824" builtinId="8" hidden="1"/>
    <cellStyle name="Hyperlink" xfId="1816" builtinId="8" hidden="1"/>
    <cellStyle name="Hyperlink" xfId="1808" builtinId="8" hidden="1"/>
    <cellStyle name="Hyperlink" xfId="1800" builtinId="8" hidden="1"/>
    <cellStyle name="Hyperlink" xfId="1792" builtinId="8" hidden="1"/>
    <cellStyle name="Hyperlink" xfId="1784" builtinId="8" hidden="1"/>
    <cellStyle name="Hyperlink" xfId="1776" builtinId="8" hidden="1"/>
    <cellStyle name="Hyperlink" xfId="1768" builtinId="8" hidden="1"/>
    <cellStyle name="Hyperlink" xfId="1760" builtinId="8" hidden="1"/>
    <cellStyle name="Hyperlink" xfId="1752" builtinId="8" hidden="1"/>
    <cellStyle name="Hyperlink" xfId="1744" builtinId="8" hidden="1"/>
    <cellStyle name="Hyperlink" xfId="1736" builtinId="8" hidden="1"/>
    <cellStyle name="Hyperlink" xfId="1728" builtinId="8" hidden="1"/>
    <cellStyle name="Hyperlink" xfId="1720" builtinId="8" hidden="1"/>
    <cellStyle name="Hyperlink" xfId="1712" builtinId="8" hidden="1"/>
    <cellStyle name="Hyperlink" xfId="1704" builtinId="8" hidden="1"/>
    <cellStyle name="Hyperlink" xfId="1696" builtinId="8" hidden="1"/>
    <cellStyle name="Hyperlink" xfId="1688" builtinId="8" hidden="1"/>
    <cellStyle name="Hyperlink" xfId="1680" builtinId="8" hidden="1"/>
    <cellStyle name="Hyperlink" xfId="1672" builtinId="8" hidden="1"/>
    <cellStyle name="Hyperlink" xfId="1664" builtinId="8" hidden="1"/>
    <cellStyle name="Hyperlink" xfId="1656" builtinId="8" hidden="1"/>
    <cellStyle name="Hyperlink" xfId="1648" builtinId="8" hidden="1"/>
    <cellStyle name="Hyperlink" xfId="1640" builtinId="8" hidden="1"/>
    <cellStyle name="Hyperlink" xfId="1632" builtinId="8" hidden="1"/>
    <cellStyle name="Hyperlink" xfId="1624" builtinId="8" hidden="1"/>
    <cellStyle name="Hyperlink" xfId="1616" builtinId="8" hidden="1"/>
    <cellStyle name="Hyperlink" xfId="1608" builtinId="8" hidden="1"/>
    <cellStyle name="Hyperlink" xfId="1600" builtinId="8" hidden="1"/>
    <cellStyle name="Hyperlink" xfId="1592" builtinId="8" hidden="1"/>
    <cellStyle name="Hyperlink" xfId="1584" builtinId="8" hidden="1"/>
    <cellStyle name="Hyperlink" xfId="1576" builtinId="8" hidden="1"/>
    <cellStyle name="Hyperlink" xfId="1568" builtinId="8" hidden="1"/>
    <cellStyle name="Hyperlink" xfId="1560" builtinId="8" hidden="1"/>
    <cellStyle name="Hyperlink" xfId="1552" builtinId="8" hidden="1"/>
    <cellStyle name="Hyperlink" xfId="1544" builtinId="8" hidden="1"/>
    <cellStyle name="Hyperlink" xfId="1536" builtinId="8" hidden="1"/>
    <cellStyle name="Hyperlink" xfId="1528" builtinId="8" hidden="1"/>
    <cellStyle name="Hyperlink" xfId="1520" builtinId="8" hidden="1"/>
    <cellStyle name="Hyperlink" xfId="1512" builtinId="8" hidden="1"/>
    <cellStyle name="Hyperlink" xfId="1504" builtinId="8" hidden="1"/>
    <cellStyle name="Hyperlink" xfId="1496" builtinId="8" hidden="1"/>
    <cellStyle name="Hyperlink" xfId="1488" builtinId="8" hidden="1"/>
    <cellStyle name="Hyperlink" xfId="1480" builtinId="8" hidden="1"/>
    <cellStyle name="Hyperlink" xfId="1472" builtinId="8" hidden="1"/>
    <cellStyle name="Hyperlink" xfId="1464" builtinId="8" hidden="1"/>
    <cellStyle name="Hyperlink" xfId="1456" builtinId="8" hidden="1"/>
    <cellStyle name="Hyperlink" xfId="1448" builtinId="8" hidden="1"/>
    <cellStyle name="Hyperlink" xfId="1440" builtinId="8" hidden="1"/>
    <cellStyle name="Hyperlink" xfId="1432" builtinId="8" hidden="1"/>
    <cellStyle name="Hyperlink" xfId="1424" builtinId="8" hidden="1"/>
    <cellStyle name="Hyperlink" xfId="1416" builtinId="8" hidden="1"/>
    <cellStyle name="Hyperlink" xfId="1408" builtinId="8" hidden="1"/>
    <cellStyle name="Hyperlink" xfId="1400" builtinId="8" hidden="1"/>
    <cellStyle name="Hyperlink" xfId="1392" builtinId="8" hidden="1"/>
    <cellStyle name="Hyperlink" xfId="1384" builtinId="8" hidden="1"/>
    <cellStyle name="Hyperlink" xfId="1376" builtinId="8" hidden="1"/>
    <cellStyle name="Hyperlink" xfId="1368" builtinId="8" hidden="1"/>
    <cellStyle name="Hyperlink" xfId="1360" builtinId="8" hidden="1"/>
    <cellStyle name="Hyperlink" xfId="1352" builtinId="8" hidden="1"/>
    <cellStyle name="Hyperlink" xfId="1344" builtinId="8" hidden="1"/>
    <cellStyle name="Hyperlink" xfId="1336" builtinId="8" hidden="1"/>
    <cellStyle name="Hyperlink" xfId="1328" builtinId="8" hidden="1"/>
    <cellStyle name="Hyperlink" xfId="1320" builtinId="8" hidden="1"/>
    <cellStyle name="Hyperlink" xfId="1312" builtinId="8" hidden="1"/>
    <cellStyle name="Hyperlink" xfId="1304" builtinId="8" hidden="1"/>
    <cellStyle name="Hyperlink" xfId="1296" builtinId="8" hidden="1"/>
    <cellStyle name="Hyperlink" xfId="1288" builtinId="8" hidden="1"/>
    <cellStyle name="Hyperlink" xfId="1280" builtinId="8" hidden="1"/>
    <cellStyle name="Hyperlink" xfId="1272" builtinId="8" hidden="1"/>
    <cellStyle name="Hyperlink" xfId="1264" builtinId="8" hidden="1"/>
    <cellStyle name="Hyperlink" xfId="1256" builtinId="8" hidden="1"/>
    <cellStyle name="Hyperlink" xfId="1248" builtinId="8" hidden="1"/>
    <cellStyle name="Hyperlink" xfId="1240" builtinId="8" hidden="1"/>
    <cellStyle name="Hyperlink" xfId="1232" builtinId="8" hidden="1"/>
    <cellStyle name="Hyperlink" xfId="1224" builtinId="8" hidden="1"/>
    <cellStyle name="Hyperlink" xfId="1216" builtinId="8" hidden="1"/>
    <cellStyle name="Hyperlink" xfId="1208" builtinId="8" hidden="1"/>
    <cellStyle name="Hyperlink" xfId="1200" builtinId="8" hidden="1"/>
    <cellStyle name="Hyperlink" xfId="1192" builtinId="8" hidden="1"/>
    <cellStyle name="Hyperlink" xfId="1184" builtinId="8" hidden="1"/>
    <cellStyle name="Hyperlink" xfId="1176" builtinId="8" hidden="1"/>
    <cellStyle name="Hyperlink" xfId="1168" builtinId="8" hidden="1"/>
    <cellStyle name="Hyperlink" xfId="1160" builtinId="8" hidden="1"/>
    <cellStyle name="Hyperlink" xfId="1152" builtinId="8" hidden="1"/>
    <cellStyle name="Hyperlink" xfId="1144" builtinId="8" hidden="1"/>
    <cellStyle name="Hyperlink" xfId="1136" builtinId="8" hidden="1"/>
    <cellStyle name="Hyperlink" xfId="1128" builtinId="8" hidden="1"/>
    <cellStyle name="Hyperlink" xfId="1120" builtinId="8" hidden="1"/>
    <cellStyle name="Hyperlink" xfId="1112" builtinId="8" hidden="1"/>
    <cellStyle name="Hyperlink" xfId="1104" builtinId="8" hidden="1"/>
    <cellStyle name="Hyperlink" xfId="1096" builtinId="8" hidden="1"/>
    <cellStyle name="Hyperlink" xfId="1088" builtinId="8" hidden="1"/>
    <cellStyle name="Hyperlink" xfId="1080" builtinId="8" hidden="1"/>
    <cellStyle name="Hyperlink" xfId="1072" builtinId="8" hidden="1"/>
    <cellStyle name="Hyperlink" xfId="1064" builtinId="8" hidden="1"/>
    <cellStyle name="Hyperlink" xfId="1056" builtinId="8" hidden="1"/>
    <cellStyle name="Hyperlink" xfId="1048" builtinId="8" hidden="1"/>
    <cellStyle name="Hyperlink" xfId="1040" builtinId="8" hidden="1"/>
    <cellStyle name="Hyperlink" xfId="1032" builtinId="8" hidden="1"/>
    <cellStyle name="Hyperlink" xfId="1024" builtinId="8" hidden="1"/>
    <cellStyle name="Hyperlink" xfId="1016" builtinId="8" hidden="1"/>
    <cellStyle name="Hyperlink" xfId="1008" builtinId="8" hidden="1"/>
    <cellStyle name="Hyperlink" xfId="1000" builtinId="8" hidden="1"/>
    <cellStyle name="Hyperlink" xfId="992" builtinId="8" hidden="1"/>
    <cellStyle name="Hyperlink" xfId="984" builtinId="8" hidden="1"/>
    <cellStyle name="Hyperlink" xfId="976" builtinId="8" hidden="1"/>
    <cellStyle name="Hyperlink" xfId="968" builtinId="8" hidden="1"/>
    <cellStyle name="Hyperlink" xfId="960" builtinId="8" hidden="1"/>
    <cellStyle name="Hyperlink" xfId="952" builtinId="8" hidden="1"/>
    <cellStyle name="Hyperlink" xfId="944" builtinId="8" hidden="1"/>
    <cellStyle name="Hyperlink" xfId="936" builtinId="8" hidden="1"/>
    <cellStyle name="Hyperlink" xfId="928" builtinId="8" hidden="1"/>
    <cellStyle name="Hyperlink" xfId="920" builtinId="8" hidden="1"/>
    <cellStyle name="Hyperlink" xfId="912" builtinId="8" hidden="1"/>
    <cellStyle name="Hyperlink" xfId="904" builtinId="8" hidden="1"/>
    <cellStyle name="Hyperlink" xfId="896" builtinId="8" hidden="1"/>
    <cellStyle name="Hyperlink" xfId="888" builtinId="8" hidden="1"/>
    <cellStyle name="Hyperlink" xfId="880" builtinId="8" hidden="1"/>
    <cellStyle name="Hyperlink" xfId="872" builtinId="8" hidden="1"/>
    <cellStyle name="Hyperlink" xfId="864" builtinId="8" hidden="1"/>
    <cellStyle name="Hyperlink" xfId="856" builtinId="8" hidden="1"/>
    <cellStyle name="Hyperlink" xfId="848" builtinId="8" hidden="1"/>
    <cellStyle name="Hyperlink" xfId="840" builtinId="8" hidden="1"/>
    <cellStyle name="Hyperlink" xfId="832" builtinId="8" hidden="1"/>
    <cellStyle name="Hyperlink" xfId="824" builtinId="8" hidden="1"/>
    <cellStyle name="Hyperlink" xfId="816" builtinId="8" hidden="1"/>
    <cellStyle name="Hyperlink" xfId="808" builtinId="8" hidden="1"/>
    <cellStyle name="Hyperlink" xfId="800" builtinId="8" hidden="1"/>
    <cellStyle name="Hyperlink" xfId="792" builtinId="8" hidden="1"/>
    <cellStyle name="Hyperlink" xfId="784" builtinId="8" hidden="1"/>
    <cellStyle name="Hyperlink" xfId="776" builtinId="8" hidden="1"/>
    <cellStyle name="Hyperlink" xfId="768" builtinId="8" hidden="1"/>
    <cellStyle name="Hyperlink" xfId="760" builtinId="8" hidden="1"/>
    <cellStyle name="Hyperlink" xfId="752" builtinId="8" hidden="1"/>
    <cellStyle name="Hyperlink" xfId="744" builtinId="8" hidden="1"/>
    <cellStyle name="Hyperlink" xfId="736" builtinId="8" hidden="1"/>
    <cellStyle name="Hyperlink" xfId="728" builtinId="8" hidden="1"/>
    <cellStyle name="Hyperlink" xfId="720" builtinId="8" hidden="1"/>
    <cellStyle name="Hyperlink" xfId="712" builtinId="8" hidden="1"/>
    <cellStyle name="Hyperlink" xfId="704" builtinId="8" hidden="1"/>
    <cellStyle name="Hyperlink" xfId="696" builtinId="8" hidden="1"/>
    <cellStyle name="Hyperlink" xfId="688" builtinId="8" hidden="1"/>
    <cellStyle name="Hyperlink" xfId="680" builtinId="8" hidden="1"/>
    <cellStyle name="Hyperlink" xfId="672" builtinId="8" hidden="1"/>
    <cellStyle name="Hyperlink" xfId="664" builtinId="8" hidden="1"/>
    <cellStyle name="Hyperlink" xfId="656" builtinId="8" hidden="1"/>
    <cellStyle name="Hyperlink" xfId="648" builtinId="8" hidden="1"/>
    <cellStyle name="Hyperlink" xfId="275" builtinId="8" hidden="1"/>
    <cellStyle name="Hyperlink" xfId="277"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5" builtinId="8" hidden="1"/>
    <cellStyle name="Hyperlink" xfId="427" builtinId="8" hidden="1"/>
    <cellStyle name="Hyperlink" xfId="429" builtinId="8" hidden="1"/>
    <cellStyle name="Hyperlink" xfId="431" builtinId="8" hidden="1"/>
    <cellStyle name="Hyperlink" xfId="442" builtinId="8" hidden="1"/>
    <cellStyle name="Hyperlink" xfId="444" builtinId="8" hidden="1"/>
    <cellStyle name="Hyperlink" xfId="446"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2" builtinId="8" hidden="1"/>
    <cellStyle name="Hyperlink" xfId="644" builtinId="8" hidden="1"/>
    <cellStyle name="Hyperlink" xfId="646" builtinId="8" hidden="1"/>
    <cellStyle name="Hyperlink" xfId="640" builtinId="8" hidden="1"/>
    <cellStyle name="Hyperlink" xfId="624" builtinId="8" hidden="1"/>
    <cellStyle name="Hyperlink" xfId="608" builtinId="8" hidden="1"/>
    <cellStyle name="Hyperlink" xfId="592" builtinId="8" hidden="1"/>
    <cellStyle name="Hyperlink" xfId="576" builtinId="8" hidden="1"/>
    <cellStyle name="Hyperlink" xfId="560" builtinId="8" hidden="1"/>
    <cellStyle name="Hyperlink" xfId="544" builtinId="8" hidden="1"/>
    <cellStyle name="Hyperlink" xfId="528" builtinId="8" hidden="1"/>
    <cellStyle name="Hyperlink" xfId="512" builtinId="8" hidden="1"/>
    <cellStyle name="Hyperlink" xfId="496" builtinId="8" hidden="1"/>
    <cellStyle name="Hyperlink" xfId="480" builtinId="8" hidden="1"/>
    <cellStyle name="Hyperlink" xfId="464" builtinId="8" hidden="1"/>
    <cellStyle name="Hyperlink" xfId="448" builtinId="8" hidden="1"/>
    <cellStyle name="Hyperlink" xfId="423" builtinId="8" hidden="1"/>
    <cellStyle name="Hyperlink" xfId="407" builtinId="8" hidden="1"/>
    <cellStyle name="Hyperlink" xfId="391" builtinId="8" hidden="1"/>
    <cellStyle name="Hyperlink" xfId="375" builtinId="8" hidden="1"/>
    <cellStyle name="Hyperlink" xfId="359" builtinId="8" hidden="1"/>
    <cellStyle name="Hyperlink" xfId="343" builtinId="8" hidden="1"/>
    <cellStyle name="Hyperlink" xfId="327" builtinId="8" hidden="1"/>
    <cellStyle name="Hyperlink" xfId="311" builtinId="8" hidden="1"/>
    <cellStyle name="Hyperlink" xfId="295" builtinId="8" hidden="1"/>
    <cellStyle name="Hyperlink" xfId="279" builtinId="8" hidden="1"/>
    <cellStyle name="Hyperlink" xfId="129" builtinId="8" hidden="1"/>
    <cellStyle name="Hyperlink" xfId="131" builtinId="8" hidden="1"/>
    <cellStyle name="Hyperlink" xfId="133"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63" builtinId="8" hidden="1"/>
    <cellStyle name="Hyperlink" xfId="231" builtinId="8" hidden="1"/>
    <cellStyle name="Hyperlink" xfId="199" builtinId="8" hidden="1"/>
    <cellStyle name="Hyperlink" xfId="167" builtinId="8" hidden="1"/>
    <cellStyle name="Hyperlink" xfId="135" builtinId="8" hidden="1"/>
    <cellStyle name="Hyperlink" xfId="61" builtinId="8" hidden="1"/>
    <cellStyle name="Hyperlink" xfId="63" builtinId="8" hidden="1"/>
    <cellStyle name="Hyperlink" xfId="65" builtinId="8" hidden="1"/>
    <cellStyle name="Hyperlink" xfId="67"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21" builtinId="8" hidden="1"/>
    <cellStyle name="Hyperlink" xfId="123" builtinId="8" hidden="1"/>
    <cellStyle name="Hyperlink" xfId="125" builtinId="8" hidden="1"/>
    <cellStyle name="Hyperlink" xfId="127" builtinId="8" hidden="1"/>
    <cellStyle name="Hyperlink" xfId="6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7" builtinId="8" hidden="1"/>
    <cellStyle name="Hyperlink" xfId="9" builtinId="8" hidden="1"/>
    <cellStyle name="Hyperlink" xfId="11" builtinId="8" hidden="1"/>
    <cellStyle name="Hyperlink" xfId="13" builtinId="8" hidden="1"/>
    <cellStyle name="Hyperlink" xfId="3" builtinId="8" hidden="1"/>
    <cellStyle name="Hyperlink" xfId="5" builtinId="8" hidden="1"/>
    <cellStyle name="Hyperlink" xfId="1" builtinId="8" hidden="1"/>
    <cellStyle name="Hyperlink" xfId="1854" builtinId="8"/>
    <cellStyle name="Input" xfId="438" builtinId="20" hidden="1"/>
    <cellStyle name="Input" xfId="434" builtinId="20" hidden="1"/>
    <cellStyle name="Input" xfId="439" xr:uid="{00000000-0005-0000-0000-000039070000}"/>
    <cellStyle name="Linked Cell" xfId="1851" builtinId="24" hidden="1"/>
    <cellStyle name="Neutral" xfId="120" builtinId="28" hidden="1"/>
    <cellStyle name="Normal" xfId="0" builtinId="0" customBuiltin="1"/>
    <cellStyle name="Output" xfId="435" builtinId="21" hidden="1"/>
    <cellStyle name="Percent" xfId="1840" builtinId="5"/>
    <cellStyle name="Row Title" xfId="440" xr:uid="{00000000-0005-0000-0000-00003F070000}"/>
    <cellStyle name="Title" xfId="1843" builtinId="15" customBuiltin="1"/>
    <cellStyle name="Total" xfId="1845" builtinId="25" hidden="1"/>
    <cellStyle name="Total" xfId="1855" builtinId="25" customBuiltin="1"/>
  </cellStyles>
  <dxfs count="355">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
      <font>
        <b val="0"/>
        <i val="0"/>
        <color rgb="FF808080"/>
      </font>
    </dxf>
  </dxfs>
  <tableStyles count="0" defaultTableStyle="TableStyleMedium9" defaultPivotStyle="PivotStyleMedium4"/>
  <colors>
    <mruColors>
      <color rgb="FF0066CC"/>
      <color rgb="FFFFFFFF"/>
      <color rgb="FFF1F3A7"/>
      <color rgb="FFF9F9F9"/>
      <color rgb="FF58863C"/>
      <color rgb="FFF0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n-US"/>
              <a:t>Cost Summary</a:t>
            </a:r>
          </a:p>
          <a:p>
            <a:pPr>
              <a:defRPr/>
            </a:pPr>
            <a:r>
              <a:rPr lang="en-US" sz="1200" b="0"/>
              <a:t>(Thousands)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n-US"/>
        </a:p>
      </c:txPr>
    </c:title>
    <c:autoTitleDeleted val="0"/>
    <c:plotArea>
      <c:layout>
        <c:manualLayout>
          <c:layoutTarget val="inner"/>
          <c:xMode val="edge"/>
          <c:yMode val="edge"/>
          <c:x val="0.30054319922338474"/>
          <c:y val="0.35927328735450187"/>
          <c:w val="0.38462848308345027"/>
          <c:h val="0.4812155541120946"/>
        </c:manualLayout>
      </c:layout>
      <c:pieChart>
        <c:varyColors val="1"/>
        <c:ser>
          <c:idx val="0"/>
          <c:order val="0"/>
          <c:dPt>
            <c:idx val="0"/>
            <c:bubble3D val="0"/>
            <c:spPr>
              <a:gradFill rotWithShape="1">
                <a:gsLst>
                  <a:gs pos="0">
                    <a:schemeClr val="accent1">
                      <a:tint val="94000"/>
                      <a:satMod val="103000"/>
                      <a:lumMod val="102000"/>
                    </a:schemeClr>
                  </a:gs>
                  <a:gs pos="50000">
                    <a:schemeClr val="accent1">
                      <a:shade val="100000"/>
                      <a:satMod val="110000"/>
                      <a:lumMod val="100000"/>
                    </a:schemeClr>
                  </a:gs>
                  <a:gs pos="100000">
                    <a:schemeClr val="accent1">
                      <a:shade val="78000"/>
                      <a:satMod val="120000"/>
                      <a:lumMod val="99000"/>
                    </a:schemeClr>
                  </a:gs>
                </a:gsLst>
                <a:lin ang="5400000" scaled="0"/>
              </a:gradFill>
              <a:ln>
                <a:noFill/>
              </a:ln>
              <a:effectLst/>
            </c:spPr>
            <c:extLst>
              <c:ext xmlns:c16="http://schemas.microsoft.com/office/drawing/2014/chart" uri="{C3380CC4-5D6E-409C-BE32-E72D297353CC}">
                <c16:uniqueId val="{00000001-3F2F-44AD-AB3C-2D36933625A5}"/>
              </c:ext>
            </c:extLst>
          </c:dPt>
          <c:dPt>
            <c:idx val="1"/>
            <c:bubble3D val="0"/>
            <c:spPr>
              <a:gradFill rotWithShape="1">
                <a:gsLst>
                  <a:gs pos="0">
                    <a:schemeClr val="accent2">
                      <a:tint val="94000"/>
                      <a:satMod val="103000"/>
                      <a:lumMod val="102000"/>
                    </a:schemeClr>
                  </a:gs>
                  <a:gs pos="50000">
                    <a:schemeClr val="accent2">
                      <a:shade val="100000"/>
                      <a:satMod val="110000"/>
                      <a:lumMod val="100000"/>
                    </a:schemeClr>
                  </a:gs>
                  <a:gs pos="100000">
                    <a:schemeClr val="accent2">
                      <a:shade val="78000"/>
                      <a:satMod val="120000"/>
                      <a:lumMod val="99000"/>
                    </a:schemeClr>
                  </a:gs>
                </a:gsLst>
                <a:lin ang="5400000" scaled="0"/>
              </a:gradFill>
              <a:ln>
                <a:noFill/>
              </a:ln>
              <a:effectLst/>
            </c:spPr>
            <c:extLst>
              <c:ext xmlns:c16="http://schemas.microsoft.com/office/drawing/2014/chart" uri="{C3380CC4-5D6E-409C-BE32-E72D297353CC}">
                <c16:uniqueId val="{00000003-3F2F-44AD-AB3C-2D36933625A5}"/>
              </c:ext>
            </c:extLst>
          </c:dPt>
          <c:dPt>
            <c:idx val="2"/>
            <c:bubble3D val="0"/>
            <c:spPr>
              <a:gradFill rotWithShape="1">
                <a:gsLst>
                  <a:gs pos="0">
                    <a:schemeClr val="accent3">
                      <a:tint val="94000"/>
                      <a:satMod val="103000"/>
                      <a:lumMod val="102000"/>
                    </a:schemeClr>
                  </a:gs>
                  <a:gs pos="50000">
                    <a:schemeClr val="accent3">
                      <a:shade val="100000"/>
                      <a:satMod val="110000"/>
                      <a:lumMod val="100000"/>
                    </a:schemeClr>
                  </a:gs>
                  <a:gs pos="100000">
                    <a:schemeClr val="accent3">
                      <a:shade val="78000"/>
                      <a:satMod val="120000"/>
                      <a:lumMod val="99000"/>
                    </a:schemeClr>
                  </a:gs>
                </a:gsLst>
                <a:lin ang="5400000" scaled="0"/>
              </a:gradFill>
              <a:ln>
                <a:noFill/>
              </a:ln>
              <a:effectLst/>
            </c:spPr>
            <c:extLst>
              <c:ext xmlns:c16="http://schemas.microsoft.com/office/drawing/2014/chart" uri="{C3380CC4-5D6E-409C-BE32-E72D297353CC}">
                <c16:uniqueId val="{00000005-3F2F-44AD-AB3C-2D36933625A5}"/>
              </c:ext>
            </c:extLst>
          </c:dPt>
          <c:dPt>
            <c:idx val="3"/>
            <c:bubble3D val="0"/>
            <c:spPr>
              <a:gradFill rotWithShape="1">
                <a:gsLst>
                  <a:gs pos="0">
                    <a:schemeClr val="accent4">
                      <a:tint val="94000"/>
                      <a:satMod val="103000"/>
                      <a:lumMod val="102000"/>
                    </a:schemeClr>
                  </a:gs>
                  <a:gs pos="50000">
                    <a:schemeClr val="accent4">
                      <a:shade val="100000"/>
                      <a:satMod val="110000"/>
                      <a:lumMod val="100000"/>
                    </a:schemeClr>
                  </a:gs>
                  <a:gs pos="100000">
                    <a:schemeClr val="accent4">
                      <a:shade val="78000"/>
                      <a:satMod val="120000"/>
                      <a:lumMod val="99000"/>
                    </a:schemeClr>
                  </a:gs>
                </a:gsLst>
                <a:lin ang="5400000" scaled="0"/>
              </a:gradFill>
              <a:ln>
                <a:noFill/>
              </a:ln>
              <a:effectLst/>
            </c:spPr>
            <c:extLst>
              <c:ext xmlns:c16="http://schemas.microsoft.com/office/drawing/2014/chart" uri="{C3380CC4-5D6E-409C-BE32-E72D297353CC}">
                <c16:uniqueId val="{00000007-3F2F-44AD-AB3C-2D36933625A5}"/>
              </c:ext>
            </c:extLst>
          </c:dPt>
          <c:dPt>
            <c:idx val="4"/>
            <c:bubble3D val="0"/>
            <c:spPr>
              <a:gradFill rotWithShape="1">
                <a:gsLst>
                  <a:gs pos="0">
                    <a:schemeClr val="accent5">
                      <a:tint val="94000"/>
                      <a:satMod val="103000"/>
                      <a:lumMod val="102000"/>
                    </a:schemeClr>
                  </a:gs>
                  <a:gs pos="50000">
                    <a:schemeClr val="accent5">
                      <a:shade val="100000"/>
                      <a:satMod val="110000"/>
                      <a:lumMod val="100000"/>
                    </a:schemeClr>
                  </a:gs>
                  <a:gs pos="100000">
                    <a:schemeClr val="accent5">
                      <a:shade val="78000"/>
                      <a:satMod val="120000"/>
                      <a:lumMod val="99000"/>
                    </a:schemeClr>
                  </a:gs>
                </a:gsLst>
                <a:lin ang="5400000" scaled="0"/>
              </a:gradFill>
              <a:ln>
                <a:noFill/>
              </a:ln>
              <a:effectLst/>
            </c:spPr>
            <c:extLst>
              <c:ext xmlns:c16="http://schemas.microsoft.com/office/drawing/2014/chart" uri="{C3380CC4-5D6E-409C-BE32-E72D297353CC}">
                <c16:uniqueId val="{00000009-3F2F-44AD-AB3C-2D36933625A5}"/>
              </c:ext>
            </c:extLst>
          </c:dPt>
          <c:dLbls>
            <c:spPr>
              <a:solidFill>
                <a:srgbClr val="FFFFFF">
                  <a:alpha val="50196"/>
                </a:srgbClr>
              </a:solidFill>
              <a:ln>
                <a:noFill/>
              </a:ln>
              <a:effectLst/>
            </c:spPr>
            <c:txPr>
              <a:bodyPr rot="0" spcFirstLastPara="1" vertOverflow="ellipsis" vert="horz" wrap="square" anchor="ctr" anchorCtr="1"/>
              <a:lstStyle/>
              <a:p>
                <a:pPr>
                  <a:defRPr sz="800" b="0" i="0" u="none" strike="noStrike" kern="1200" baseline="0">
                    <a:solidFill>
                      <a:schemeClr val="dk1"/>
                    </a:solidFill>
                    <a:latin typeface="+mn-lt"/>
                    <a:ea typeface="+mn-ea"/>
                    <a:cs typeface="+mn-cs"/>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'Rpt Cntnt'!$F$18:$F$21</c:f>
              <c:strCache>
                <c:ptCount val="4"/>
                <c:pt idx="0">
                  <c:v>Vendor Costs</c:v>
                </c:pt>
                <c:pt idx="1">
                  <c:v>Internal Costs</c:v>
                </c:pt>
                <c:pt idx="2">
                  <c:v>Internal Labor</c:v>
                </c:pt>
                <c:pt idx="3">
                  <c:v>3rd Party Services</c:v>
                </c:pt>
              </c:strCache>
            </c:strRef>
          </c:cat>
          <c:val>
            <c:numRef>
              <c:f>'Rpt Cntnt'!$G$18:$G$21</c:f>
              <c:numCache>
                <c:formatCode>"$"#,##0</c:formatCode>
                <c:ptCount val="4"/>
                <c:pt idx="0">
                  <c:v>275.88</c:v>
                </c:pt>
                <c:pt idx="1">
                  <c:v>45.964800000000004</c:v>
                </c:pt>
                <c:pt idx="2">
                  <c:v>178.10599999999999</c:v>
                </c:pt>
                <c:pt idx="3">
                  <c:v>46.512</c:v>
                </c:pt>
              </c:numCache>
            </c:numRef>
          </c:val>
          <c:extLst>
            <c:ext xmlns:c16="http://schemas.microsoft.com/office/drawing/2014/chart" uri="{C3380CC4-5D6E-409C-BE32-E72D297353CC}">
              <c16:uniqueId val="{0000000A-3F2F-44AD-AB3C-2D36933625A5}"/>
            </c:ext>
          </c:extLst>
        </c:ser>
        <c:dLbls>
          <c:showLegendKey val="0"/>
          <c:showVal val="0"/>
          <c:showCatName val="1"/>
          <c:showSerName val="0"/>
          <c:showPercent val="1"/>
          <c:showBubbleSize val="0"/>
          <c:showLeaderLines val="0"/>
        </c:dLbls>
        <c:firstSliceAng val="0"/>
      </c:pieChart>
      <c:spPr>
        <a:noFill/>
        <a:ln>
          <a:noFill/>
        </a:ln>
        <a:effectLst/>
      </c:spPr>
    </c:plotArea>
    <c:plotVisOnly val="0"/>
    <c:dispBlanksAs val="gap"/>
    <c:showDLblsOverMax val="0"/>
  </c:chart>
  <c:spPr>
    <a:solidFill>
      <a:schemeClr val="accent5">
        <a:lumMod val="20000"/>
        <a:lumOff val="80000"/>
      </a:schemeClr>
    </a:solidFill>
    <a:ln w="6350" cap="flat" cmpd="sng" algn="in">
      <a:solidFill>
        <a:schemeClr val="accent5"/>
      </a:solidFill>
      <a:prstDash val="solid"/>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mn-lt"/>
                <a:ea typeface="+mn-ea"/>
                <a:cs typeface="+mn-cs"/>
              </a:defRPr>
            </a:pPr>
            <a:r>
              <a:rPr lang="en-US" sz="1200"/>
              <a:t>Benefit Summary</a:t>
            </a:r>
            <a:endParaRPr lang="en-US" sz="120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200">
                <a:solidFill>
                  <a:sysClr val="windowText" lastClr="000000"/>
                </a:solidFill>
              </a:defRPr>
            </a:pPr>
            <a:r>
              <a:rPr lang="en-US" sz="1100" b="0">
                <a:effectLst/>
              </a:rPr>
              <a:t>(Thousands)</a:t>
            </a:r>
            <a:endParaRPr lang="en-US" sz="1100" b="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1977107028288131"/>
          <c:y val="0.27521609798775154"/>
          <c:w val="0.57036306404759907"/>
          <c:h val="0.66228107850155093"/>
        </c:manualLayout>
      </c:layout>
      <c:pieChart>
        <c:varyColors val="1"/>
        <c:ser>
          <c:idx val="0"/>
          <c:order val="0"/>
          <c:dPt>
            <c:idx val="0"/>
            <c:bubble3D val="0"/>
            <c:spPr>
              <a:gradFill rotWithShape="1">
                <a:gsLst>
                  <a:gs pos="0">
                    <a:schemeClr val="accent4">
                      <a:shade val="65000"/>
                      <a:tint val="94000"/>
                      <a:satMod val="103000"/>
                      <a:lumMod val="102000"/>
                    </a:schemeClr>
                  </a:gs>
                  <a:gs pos="50000">
                    <a:schemeClr val="accent4">
                      <a:shade val="65000"/>
                      <a:shade val="100000"/>
                      <a:satMod val="110000"/>
                      <a:lumMod val="100000"/>
                    </a:schemeClr>
                  </a:gs>
                  <a:gs pos="100000">
                    <a:schemeClr val="accent4">
                      <a:shade val="65000"/>
                      <a:shade val="78000"/>
                      <a:satMod val="120000"/>
                      <a:lumMod val="99000"/>
                    </a:schemeClr>
                  </a:gs>
                </a:gsLst>
                <a:lin ang="5400000" scaled="0"/>
              </a:gradFill>
              <a:ln>
                <a:noFill/>
              </a:ln>
              <a:effectLst/>
            </c:spPr>
            <c:extLst>
              <c:ext xmlns:c16="http://schemas.microsoft.com/office/drawing/2014/chart" uri="{C3380CC4-5D6E-409C-BE32-E72D297353CC}">
                <c16:uniqueId val="{00000001-63E5-40ED-A99D-134914862031}"/>
              </c:ext>
            </c:extLst>
          </c:dPt>
          <c:dPt>
            <c:idx val="1"/>
            <c:bubble3D val="0"/>
            <c:spPr>
              <a:gradFill rotWithShape="1">
                <a:gsLst>
                  <a:gs pos="0">
                    <a:schemeClr val="accent4">
                      <a:tint val="94000"/>
                      <a:satMod val="103000"/>
                      <a:lumMod val="102000"/>
                    </a:schemeClr>
                  </a:gs>
                  <a:gs pos="50000">
                    <a:schemeClr val="accent4">
                      <a:shade val="100000"/>
                      <a:satMod val="110000"/>
                      <a:lumMod val="100000"/>
                    </a:schemeClr>
                  </a:gs>
                  <a:gs pos="100000">
                    <a:schemeClr val="accent4">
                      <a:shade val="78000"/>
                      <a:satMod val="120000"/>
                      <a:lumMod val="99000"/>
                    </a:schemeClr>
                  </a:gs>
                </a:gsLst>
                <a:lin ang="5400000" scaled="0"/>
              </a:gradFill>
              <a:ln>
                <a:noFill/>
              </a:ln>
              <a:effectLst/>
            </c:spPr>
            <c:extLst>
              <c:ext xmlns:c16="http://schemas.microsoft.com/office/drawing/2014/chart" uri="{C3380CC4-5D6E-409C-BE32-E72D297353CC}">
                <c16:uniqueId val="{00000003-63E5-40ED-A99D-134914862031}"/>
              </c:ext>
            </c:extLst>
          </c:dPt>
          <c:dPt>
            <c:idx val="2"/>
            <c:bubble3D val="0"/>
            <c:spPr>
              <a:gradFill rotWithShape="1">
                <a:gsLst>
                  <a:gs pos="0">
                    <a:schemeClr val="accent4">
                      <a:tint val="65000"/>
                      <a:tint val="94000"/>
                      <a:satMod val="103000"/>
                      <a:lumMod val="102000"/>
                    </a:schemeClr>
                  </a:gs>
                  <a:gs pos="50000">
                    <a:schemeClr val="accent4">
                      <a:tint val="65000"/>
                      <a:shade val="100000"/>
                      <a:satMod val="110000"/>
                      <a:lumMod val="100000"/>
                    </a:schemeClr>
                  </a:gs>
                  <a:gs pos="100000">
                    <a:schemeClr val="accent4">
                      <a:tint val="65000"/>
                      <a:shade val="78000"/>
                      <a:satMod val="120000"/>
                      <a:lumMod val="99000"/>
                    </a:schemeClr>
                  </a:gs>
                </a:gsLst>
                <a:lin ang="5400000" scaled="0"/>
              </a:gradFill>
              <a:ln>
                <a:noFill/>
              </a:ln>
              <a:effectLst/>
            </c:spPr>
            <c:extLst>
              <c:ext xmlns:c16="http://schemas.microsoft.com/office/drawing/2014/chart" uri="{C3380CC4-5D6E-409C-BE32-E72D297353CC}">
                <c16:uniqueId val="{00000005-63E5-40ED-A99D-134914862031}"/>
              </c:ext>
            </c:extLst>
          </c:dPt>
          <c:dLbls>
            <c:spPr>
              <a:solidFill>
                <a:srgbClr val="FFFFFF">
                  <a:alpha val="50196"/>
                </a:srgbClr>
              </a:solidFill>
              <a:ln>
                <a:noFill/>
              </a:ln>
              <a:effectLst/>
            </c:spPr>
            <c:txPr>
              <a:bodyPr rot="0" spcFirstLastPara="1" vertOverflow="ellipsis" vert="horz" wrap="square" anchor="ctr" anchorCtr="1"/>
              <a:lstStyle/>
              <a:p>
                <a:pPr>
                  <a:defRPr sz="800" b="0" i="0" u="none" strike="noStrike" kern="1200" baseline="0">
                    <a:solidFill>
                      <a:schemeClr val="dk1"/>
                    </a:solidFill>
                    <a:latin typeface="+mn-lt"/>
                    <a:ea typeface="+mn-ea"/>
                    <a:cs typeface="+mn-cs"/>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'Rpt Cntnt'!$F$34:$F$36</c:f>
              <c:strCache>
                <c:ptCount val="3"/>
                <c:pt idx="0">
                  <c:v>Revenue Gains (Margin)</c:v>
                </c:pt>
                <c:pt idx="1">
                  <c:v>Cost/TCO Savings</c:v>
                </c:pt>
                <c:pt idx="2">
                  <c:v>Productivity Savings</c:v>
                </c:pt>
              </c:strCache>
            </c:strRef>
          </c:cat>
          <c:val>
            <c:numRef>
              <c:f>'Rpt Cntnt'!$G$34:$G$36</c:f>
              <c:numCache>
                <c:formatCode>"$"#,##0</c:formatCode>
                <c:ptCount val="3"/>
                <c:pt idx="0">
                  <c:v>1080.558172687859</c:v>
                </c:pt>
                <c:pt idx="1">
                  <c:v>820.8</c:v>
                </c:pt>
                <c:pt idx="2">
                  <c:v>1026</c:v>
                </c:pt>
              </c:numCache>
            </c:numRef>
          </c:val>
          <c:extLst>
            <c:ext xmlns:c16="http://schemas.microsoft.com/office/drawing/2014/chart" uri="{C3380CC4-5D6E-409C-BE32-E72D297353CC}">
              <c16:uniqueId val="{00000006-63E5-40ED-A99D-134914862031}"/>
            </c:ext>
          </c:extLst>
        </c:ser>
        <c:dLbls>
          <c:showLegendKey val="0"/>
          <c:showVal val="0"/>
          <c:showCatName val="1"/>
          <c:showSerName val="0"/>
          <c:showPercent val="1"/>
          <c:showBubbleSize val="0"/>
          <c:showLeaderLines val="0"/>
        </c:dLbls>
        <c:firstSliceAng val="0"/>
      </c:pieChart>
      <c:spPr>
        <a:noFill/>
        <a:ln>
          <a:noFill/>
        </a:ln>
        <a:effectLst/>
      </c:spPr>
    </c:plotArea>
    <c:plotVisOnly val="0"/>
    <c:dispBlanksAs val="gap"/>
    <c:showDLblsOverMax val="0"/>
  </c:chart>
  <c:spPr>
    <a:solidFill>
      <a:schemeClr val="accent5">
        <a:lumMod val="20000"/>
        <a:lumOff val="80000"/>
      </a:schemeClr>
    </a:solidFill>
    <a:ln w="6350" cap="flat" cmpd="sng" algn="in">
      <a:solidFill>
        <a:schemeClr val="accent5"/>
      </a:solidFill>
      <a:prstDash val="solid"/>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n-US"/>
              <a:t>Benefit Summary</a:t>
            </a:r>
          </a:p>
          <a:p>
            <a:pPr>
              <a:defRPr/>
            </a:pPr>
            <a:r>
              <a:rPr lang="en-US" sz="1200" b="0"/>
              <a:t>(Thousands)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n-US"/>
        </a:p>
      </c:txPr>
    </c:title>
    <c:autoTitleDeleted val="0"/>
    <c:plotArea>
      <c:layout>
        <c:manualLayout>
          <c:layoutTarget val="inner"/>
          <c:xMode val="edge"/>
          <c:yMode val="edge"/>
          <c:x val="0.27810012029746278"/>
          <c:y val="0.29472843266854415"/>
          <c:w val="0.43321713692038494"/>
          <c:h val="0.60713642546506508"/>
        </c:manualLayout>
      </c:layout>
      <c:pieChart>
        <c:varyColors val="1"/>
        <c:ser>
          <c:idx val="0"/>
          <c:order val="0"/>
          <c:dPt>
            <c:idx val="0"/>
            <c:bubble3D val="0"/>
            <c:spPr>
              <a:gradFill rotWithShape="1">
                <a:gsLst>
                  <a:gs pos="0">
                    <a:schemeClr val="accent4">
                      <a:shade val="65000"/>
                      <a:tint val="94000"/>
                      <a:satMod val="103000"/>
                      <a:lumMod val="102000"/>
                    </a:schemeClr>
                  </a:gs>
                  <a:gs pos="50000">
                    <a:schemeClr val="accent4">
                      <a:shade val="65000"/>
                      <a:shade val="100000"/>
                      <a:satMod val="110000"/>
                      <a:lumMod val="100000"/>
                    </a:schemeClr>
                  </a:gs>
                  <a:gs pos="100000">
                    <a:schemeClr val="accent4">
                      <a:shade val="65000"/>
                      <a:shade val="78000"/>
                      <a:satMod val="120000"/>
                      <a:lumMod val="99000"/>
                    </a:schemeClr>
                  </a:gs>
                </a:gsLst>
                <a:lin ang="5400000" scaled="0"/>
              </a:gradFill>
              <a:ln>
                <a:noFill/>
              </a:ln>
              <a:effectLst/>
            </c:spPr>
            <c:extLst>
              <c:ext xmlns:c16="http://schemas.microsoft.com/office/drawing/2014/chart" uri="{C3380CC4-5D6E-409C-BE32-E72D297353CC}">
                <c16:uniqueId val="{00000001-9442-4039-825E-840E0D74F404}"/>
              </c:ext>
            </c:extLst>
          </c:dPt>
          <c:dPt>
            <c:idx val="1"/>
            <c:bubble3D val="0"/>
            <c:spPr>
              <a:gradFill rotWithShape="1">
                <a:gsLst>
                  <a:gs pos="0">
                    <a:schemeClr val="accent4">
                      <a:tint val="94000"/>
                      <a:satMod val="103000"/>
                      <a:lumMod val="102000"/>
                    </a:schemeClr>
                  </a:gs>
                  <a:gs pos="50000">
                    <a:schemeClr val="accent4">
                      <a:shade val="100000"/>
                      <a:satMod val="110000"/>
                      <a:lumMod val="100000"/>
                    </a:schemeClr>
                  </a:gs>
                  <a:gs pos="100000">
                    <a:schemeClr val="accent4">
                      <a:shade val="78000"/>
                      <a:satMod val="120000"/>
                      <a:lumMod val="99000"/>
                    </a:schemeClr>
                  </a:gs>
                </a:gsLst>
                <a:lin ang="5400000" scaled="0"/>
              </a:gradFill>
              <a:ln>
                <a:noFill/>
              </a:ln>
              <a:effectLst/>
            </c:spPr>
            <c:extLst>
              <c:ext xmlns:c16="http://schemas.microsoft.com/office/drawing/2014/chart" uri="{C3380CC4-5D6E-409C-BE32-E72D297353CC}">
                <c16:uniqueId val="{00000003-9442-4039-825E-840E0D74F404}"/>
              </c:ext>
            </c:extLst>
          </c:dPt>
          <c:dPt>
            <c:idx val="2"/>
            <c:bubble3D val="0"/>
            <c:spPr>
              <a:gradFill rotWithShape="1">
                <a:gsLst>
                  <a:gs pos="0">
                    <a:schemeClr val="accent4">
                      <a:tint val="65000"/>
                      <a:tint val="94000"/>
                      <a:satMod val="103000"/>
                      <a:lumMod val="102000"/>
                    </a:schemeClr>
                  </a:gs>
                  <a:gs pos="50000">
                    <a:schemeClr val="accent4">
                      <a:tint val="65000"/>
                      <a:shade val="100000"/>
                      <a:satMod val="110000"/>
                      <a:lumMod val="100000"/>
                    </a:schemeClr>
                  </a:gs>
                  <a:gs pos="100000">
                    <a:schemeClr val="accent4">
                      <a:tint val="65000"/>
                      <a:shade val="78000"/>
                      <a:satMod val="120000"/>
                      <a:lumMod val="99000"/>
                    </a:schemeClr>
                  </a:gs>
                </a:gsLst>
                <a:lin ang="5400000" scaled="0"/>
              </a:gradFill>
              <a:ln>
                <a:noFill/>
              </a:ln>
              <a:effectLst/>
            </c:spPr>
            <c:extLst>
              <c:ext xmlns:c16="http://schemas.microsoft.com/office/drawing/2014/chart" uri="{C3380CC4-5D6E-409C-BE32-E72D297353CC}">
                <c16:uniqueId val="{00000005-9442-4039-825E-840E0D74F404}"/>
              </c:ext>
            </c:extLst>
          </c:dPt>
          <c:dLbls>
            <c:spPr>
              <a:solidFill>
                <a:srgbClr val="FFFFFF">
                  <a:alpha val="50196"/>
                </a:srgb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'Rpt Cntnt'!$F$34:$F$36</c:f>
              <c:strCache>
                <c:ptCount val="3"/>
                <c:pt idx="0">
                  <c:v>Revenue Gains (Margin)</c:v>
                </c:pt>
                <c:pt idx="1">
                  <c:v>Cost/TCO Savings</c:v>
                </c:pt>
                <c:pt idx="2">
                  <c:v>Productivity Savings</c:v>
                </c:pt>
              </c:strCache>
            </c:strRef>
          </c:cat>
          <c:val>
            <c:numRef>
              <c:f>'Rpt Cntnt'!$G$34:$G$36</c:f>
              <c:numCache>
                <c:formatCode>"$"#,##0</c:formatCode>
                <c:ptCount val="3"/>
                <c:pt idx="0">
                  <c:v>1080.558172687859</c:v>
                </c:pt>
                <c:pt idx="1">
                  <c:v>820.8</c:v>
                </c:pt>
                <c:pt idx="2">
                  <c:v>1026</c:v>
                </c:pt>
              </c:numCache>
            </c:numRef>
          </c:val>
          <c:extLst>
            <c:ext xmlns:c16="http://schemas.microsoft.com/office/drawing/2014/chart" uri="{C3380CC4-5D6E-409C-BE32-E72D297353CC}">
              <c16:uniqueId val="{00000006-9442-4039-825E-840E0D74F404}"/>
            </c:ext>
          </c:extLst>
        </c:ser>
        <c:dLbls>
          <c:showLegendKey val="0"/>
          <c:showVal val="0"/>
          <c:showCatName val="1"/>
          <c:showSerName val="0"/>
          <c:showPercent val="1"/>
          <c:showBubbleSize val="0"/>
          <c:showLeaderLines val="0"/>
        </c:dLbls>
        <c:firstSliceAng val="0"/>
      </c:pieChart>
      <c:spPr>
        <a:noFill/>
        <a:ln>
          <a:noFill/>
        </a:ln>
        <a:effectLst/>
      </c:spPr>
    </c:plotArea>
    <c:plotVisOnly val="0"/>
    <c:dispBlanksAs val="gap"/>
    <c:showDLblsOverMax val="0"/>
  </c:chart>
  <c:spPr>
    <a:solidFill>
      <a:schemeClr val="accent5">
        <a:lumMod val="20000"/>
        <a:lumOff val="80000"/>
      </a:schemeClr>
    </a:solidFill>
    <a:ln w="6350" cap="flat" cmpd="sng" algn="in">
      <a:solidFill>
        <a:schemeClr val="accent5"/>
      </a:solidFill>
      <a:prstDash val="solid"/>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n-US"/>
              <a:t>Revenue Margin Gains (Annual) </a:t>
            </a:r>
          </a:p>
          <a:p>
            <a:pPr>
              <a:defRPr/>
            </a:pPr>
            <a:r>
              <a:rPr lang="en-US" sz="1400" b="0"/>
              <a:t>(Thousands)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n-US"/>
        </a:p>
      </c:txPr>
    </c:title>
    <c:autoTitleDeleted val="0"/>
    <c:plotArea>
      <c:layout>
        <c:manualLayout>
          <c:layoutTarget val="inner"/>
          <c:xMode val="edge"/>
          <c:yMode val="edge"/>
          <c:x val="0.31775501258219008"/>
          <c:y val="0.26309095527281962"/>
          <c:w val="0.35961966609843871"/>
          <c:h val="0.51148251629836594"/>
        </c:manualLayout>
      </c:layout>
      <c:pieChart>
        <c:varyColors val="1"/>
        <c:ser>
          <c:idx val="0"/>
          <c:order val="0"/>
          <c:dPt>
            <c:idx val="0"/>
            <c:bubble3D val="0"/>
            <c:spPr>
              <a:gradFill rotWithShape="1">
                <a:gsLst>
                  <a:gs pos="0">
                    <a:schemeClr val="accent1">
                      <a:tint val="94000"/>
                      <a:satMod val="103000"/>
                      <a:lumMod val="102000"/>
                    </a:schemeClr>
                  </a:gs>
                  <a:gs pos="50000">
                    <a:schemeClr val="accent1">
                      <a:shade val="100000"/>
                      <a:satMod val="110000"/>
                      <a:lumMod val="100000"/>
                    </a:schemeClr>
                  </a:gs>
                  <a:gs pos="100000">
                    <a:schemeClr val="accent1">
                      <a:shade val="78000"/>
                      <a:satMod val="120000"/>
                      <a:lumMod val="99000"/>
                    </a:schemeClr>
                  </a:gs>
                </a:gsLst>
                <a:lin ang="5400000" scaled="0"/>
              </a:gradFill>
              <a:ln>
                <a:noFill/>
              </a:ln>
              <a:effectLst/>
            </c:spPr>
            <c:extLst>
              <c:ext xmlns:c16="http://schemas.microsoft.com/office/drawing/2014/chart" uri="{C3380CC4-5D6E-409C-BE32-E72D297353CC}">
                <c16:uniqueId val="{00000001-C56E-4C35-98B0-93CC5B70BC44}"/>
              </c:ext>
            </c:extLst>
          </c:dPt>
          <c:dPt>
            <c:idx val="1"/>
            <c:bubble3D val="0"/>
            <c:spPr>
              <a:gradFill rotWithShape="1">
                <a:gsLst>
                  <a:gs pos="0">
                    <a:schemeClr val="accent2">
                      <a:tint val="94000"/>
                      <a:satMod val="103000"/>
                      <a:lumMod val="102000"/>
                    </a:schemeClr>
                  </a:gs>
                  <a:gs pos="50000">
                    <a:schemeClr val="accent2">
                      <a:shade val="100000"/>
                      <a:satMod val="110000"/>
                      <a:lumMod val="100000"/>
                    </a:schemeClr>
                  </a:gs>
                  <a:gs pos="100000">
                    <a:schemeClr val="accent2">
                      <a:shade val="78000"/>
                      <a:satMod val="120000"/>
                      <a:lumMod val="99000"/>
                    </a:schemeClr>
                  </a:gs>
                </a:gsLst>
                <a:lin ang="5400000" scaled="0"/>
              </a:gradFill>
              <a:ln>
                <a:noFill/>
              </a:ln>
              <a:effectLst/>
            </c:spPr>
            <c:extLst>
              <c:ext xmlns:c16="http://schemas.microsoft.com/office/drawing/2014/chart" uri="{C3380CC4-5D6E-409C-BE32-E72D297353CC}">
                <c16:uniqueId val="{00000003-C56E-4C35-98B0-93CC5B70BC44}"/>
              </c:ext>
            </c:extLst>
          </c:dPt>
          <c:dPt>
            <c:idx val="2"/>
            <c:bubble3D val="0"/>
            <c:spPr>
              <a:gradFill rotWithShape="1">
                <a:gsLst>
                  <a:gs pos="0">
                    <a:schemeClr val="accent3">
                      <a:tint val="94000"/>
                      <a:satMod val="103000"/>
                      <a:lumMod val="102000"/>
                    </a:schemeClr>
                  </a:gs>
                  <a:gs pos="50000">
                    <a:schemeClr val="accent3">
                      <a:shade val="100000"/>
                      <a:satMod val="110000"/>
                      <a:lumMod val="100000"/>
                    </a:schemeClr>
                  </a:gs>
                  <a:gs pos="100000">
                    <a:schemeClr val="accent3">
                      <a:shade val="78000"/>
                      <a:satMod val="120000"/>
                      <a:lumMod val="99000"/>
                    </a:schemeClr>
                  </a:gs>
                </a:gsLst>
                <a:lin ang="5400000" scaled="0"/>
              </a:gradFill>
              <a:ln>
                <a:noFill/>
              </a:ln>
              <a:effectLst/>
            </c:spPr>
            <c:extLst>
              <c:ext xmlns:c16="http://schemas.microsoft.com/office/drawing/2014/chart" uri="{C3380CC4-5D6E-409C-BE32-E72D297353CC}">
                <c16:uniqueId val="{00000005-C56E-4C35-98B0-93CC5B70BC44}"/>
              </c:ext>
            </c:extLst>
          </c:dPt>
          <c:dPt>
            <c:idx val="3"/>
            <c:bubble3D val="0"/>
            <c:spPr>
              <a:gradFill rotWithShape="1">
                <a:gsLst>
                  <a:gs pos="0">
                    <a:schemeClr val="accent4">
                      <a:tint val="94000"/>
                      <a:satMod val="103000"/>
                      <a:lumMod val="102000"/>
                    </a:schemeClr>
                  </a:gs>
                  <a:gs pos="50000">
                    <a:schemeClr val="accent4">
                      <a:shade val="100000"/>
                      <a:satMod val="110000"/>
                      <a:lumMod val="100000"/>
                    </a:schemeClr>
                  </a:gs>
                  <a:gs pos="100000">
                    <a:schemeClr val="accent4">
                      <a:shade val="78000"/>
                      <a:satMod val="120000"/>
                      <a:lumMod val="99000"/>
                    </a:schemeClr>
                  </a:gs>
                </a:gsLst>
                <a:lin ang="5400000" scaled="0"/>
              </a:gradFill>
              <a:ln>
                <a:noFill/>
              </a:ln>
              <a:effectLst/>
            </c:spPr>
            <c:extLst>
              <c:ext xmlns:c16="http://schemas.microsoft.com/office/drawing/2014/chart" uri="{C3380CC4-5D6E-409C-BE32-E72D297353CC}">
                <c16:uniqueId val="{00000007-CE33-46E8-87DF-2BB3A5DECAE5}"/>
              </c:ext>
            </c:extLst>
          </c:dPt>
          <c:dPt>
            <c:idx val="4"/>
            <c:bubble3D val="0"/>
            <c:spPr>
              <a:gradFill rotWithShape="1">
                <a:gsLst>
                  <a:gs pos="0">
                    <a:schemeClr val="accent5">
                      <a:tint val="94000"/>
                      <a:satMod val="103000"/>
                      <a:lumMod val="102000"/>
                    </a:schemeClr>
                  </a:gs>
                  <a:gs pos="50000">
                    <a:schemeClr val="accent5">
                      <a:shade val="100000"/>
                      <a:satMod val="110000"/>
                      <a:lumMod val="100000"/>
                    </a:schemeClr>
                  </a:gs>
                  <a:gs pos="100000">
                    <a:schemeClr val="accent5">
                      <a:shade val="78000"/>
                      <a:satMod val="120000"/>
                      <a:lumMod val="99000"/>
                    </a:schemeClr>
                  </a:gs>
                </a:gsLst>
                <a:lin ang="5400000" scaled="0"/>
              </a:gradFill>
              <a:ln>
                <a:noFill/>
              </a:ln>
              <a:effectLst/>
            </c:spPr>
            <c:extLst>
              <c:ext xmlns:c16="http://schemas.microsoft.com/office/drawing/2014/chart" uri="{C3380CC4-5D6E-409C-BE32-E72D297353CC}">
                <c16:uniqueId val="{00000009-CE33-46E8-87DF-2BB3A5DECAE5}"/>
              </c:ext>
            </c:extLst>
          </c:dPt>
          <c:dLbls>
            <c:spPr>
              <a:solidFill>
                <a:srgbClr val="FFFFFF">
                  <a:alpha val="50196"/>
                </a:srgb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Benefits!$Q$16:$Q$20</c:f>
              <c:strCache>
                <c:ptCount val="5"/>
                <c:pt idx="0">
                  <c:v>Lead Generation Gains</c:v>
                </c:pt>
                <c:pt idx="1">
                  <c:v>Marketing Conversion Rate Improvement</c:v>
                </c:pt>
                <c:pt idx="2">
                  <c:v>Sales Close Rate Improvement</c:v>
                </c:pt>
                <c:pt idx="3">
                  <c:v>Deal Size Improvement</c:v>
                </c:pt>
                <c:pt idx="4">
                  <c:v>Sales Margin Improvement</c:v>
                </c:pt>
              </c:strCache>
            </c:strRef>
          </c:cat>
          <c:val>
            <c:numRef>
              <c:f>Benefits!$R$16:$R$20</c:f>
              <c:numCache>
                <c:formatCode>"$"#,##0</c:formatCode>
                <c:ptCount val="5"/>
                <c:pt idx="0">
                  <c:v>43.222326907514272</c:v>
                </c:pt>
                <c:pt idx="1">
                  <c:v>43.222326907514308</c:v>
                </c:pt>
                <c:pt idx="2">
                  <c:v>43.222326907514443</c:v>
                </c:pt>
                <c:pt idx="3">
                  <c:v>43.222326907514365</c:v>
                </c:pt>
                <c:pt idx="4">
                  <c:v>43.222326907514407</c:v>
                </c:pt>
              </c:numCache>
            </c:numRef>
          </c:val>
          <c:extLst>
            <c:ext xmlns:c16="http://schemas.microsoft.com/office/drawing/2014/chart" uri="{C3380CC4-5D6E-409C-BE32-E72D297353CC}">
              <c16:uniqueId val="{00000006-C56E-4C35-98B0-93CC5B70BC44}"/>
            </c:ext>
          </c:extLst>
        </c:ser>
        <c:dLbls>
          <c:showLegendKey val="0"/>
          <c:showVal val="0"/>
          <c:showCatName val="1"/>
          <c:showSerName val="0"/>
          <c:showPercent val="1"/>
          <c:showBubbleSize val="0"/>
          <c:showLeaderLines val="0"/>
        </c:dLbls>
        <c:firstSliceAng val="0"/>
      </c:pieChart>
      <c:spPr>
        <a:noFill/>
        <a:ln>
          <a:noFill/>
        </a:ln>
        <a:effectLst/>
      </c:spPr>
    </c:plotArea>
    <c:plotVisOnly val="0"/>
    <c:dispBlanksAs val="gap"/>
    <c:showDLblsOverMax val="0"/>
  </c:chart>
  <c:spPr>
    <a:solidFill>
      <a:schemeClr val="accent5">
        <a:lumMod val="20000"/>
        <a:lumOff val="80000"/>
      </a:schemeClr>
    </a:solidFill>
    <a:ln w="6350" cap="flat" cmpd="sng" algn="in">
      <a:solidFill>
        <a:schemeClr val="accent5"/>
      </a:solidFill>
      <a:prstDash val="solid"/>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ROI!$O$4</c:f>
          <c:strCache>
            <c:ptCount val="1"/>
            <c:pt idx="0">
              <c:v>Costs Vs Benefits (Total 5-Year)</c:v>
            </c:pt>
          </c:strCache>
        </c:strRef>
      </c:tx>
      <c:overlay val="0"/>
      <c:spPr>
        <a:noFill/>
        <a:ln>
          <a:noFill/>
        </a:ln>
        <a:effectLst/>
      </c:spPr>
      <c:txPr>
        <a:bodyPr rot="0" spcFirstLastPara="1" vertOverflow="ellipsis" vert="horz" wrap="square" anchor="ctr" anchorCtr="1"/>
        <a:lstStyle/>
        <a:p>
          <a:pPr>
            <a:defRPr sz="1680" b="1"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26279325503305501"/>
          <c:y val="0.21476512030423442"/>
          <c:w val="0.64248231228256003"/>
          <c:h val="0.63934537594565377"/>
        </c:manualLayout>
      </c:layout>
      <c:barChart>
        <c:barDir val="col"/>
        <c:grouping val="stacked"/>
        <c:varyColors val="0"/>
        <c:ser>
          <c:idx val="0"/>
          <c:order val="0"/>
          <c:spPr>
            <a:solidFill>
              <a:schemeClr val="accent1"/>
            </a:solidFill>
            <a:ln>
              <a:noFill/>
            </a:ln>
            <a:effectLst/>
          </c:spPr>
          <c:invertIfNegative val="0"/>
          <c:dPt>
            <c:idx val="0"/>
            <c:invertIfNegative val="0"/>
            <c:bubble3D val="0"/>
            <c:spPr>
              <a:solidFill>
                <a:schemeClr val="accent6"/>
              </a:solidFill>
              <a:ln w="6350" cap="flat" cmpd="sng" algn="in">
                <a:solidFill>
                  <a:schemeClr val="accent6"/>
                </a:solidFill>
                <a:prstDash val="solid"/>
              </a:ln>
              <a:effectLst/>
            </c:spPr>
            <c:extLst>
              <c:ext xmlns:c16="http://schemas.microsoft.com/office/drawing/2014/chart" uri="{C3380CC4-5D6E-409C-BE32-E72D297353CC}">
                <c16:uniqueId val="{00000001-8001-475A-BF84-1908178B05CC}"/>
              </c:ext>
            </c:extLst>
          </c:dPt>
          <c:dPt>
            <c:idx val="1"/>
            <c:invertIfNegative val="0"/>
            <c:bubble3D val="0"/>
            <c:spPr>
              <a:gradFill rotWithShape="1">
                <a:gsLst>
                  <a:gs pos="0">
                    <a:schemeClr val="accent4">
                      <a:tint val="94000"/>
                      <a:satMod val="103000"/>
                      <a:lumMod val="102000"/>
                    </a:schemeClr>
                  </a:gs>
                  <a:gs pos="50000">
                    <a:schemeClr val="accent4">
                      <a:shade val="100000"/>
                      <a:satMod val="110000"/>
                      <a:lumMod val="100000"/>
                    </a:schemeClr>
                  </a:gs>
                  <a:gs pos="100000">
                    <a:schemeClr val="accent4">
                      <a:shade val="78000"/>
                      <a:satMod val="120000"/>
                      <a:lumMod val="99000"/>
                    </a:schemeClr>
                  </a:gs>
                </a:gsLst>
                <a:lin ang="5400000" scaled="0"/>
              </a:gradFill>
              <a:ln w="6350" cap="flat" cmpd="sng" algn="in">
                <a:solidFill>
                  <a:schemeClr val="accent4"/>
                </a:solidFill>
                <a:prstDash val="solid"/>
              </a:ln>
              <a:effectLst/>
            </c:spPr>
            <c:extLst>
              <c:ext xmlns:c16="http://schemas.microsoft.com/office/drawing/2014/chart" uri="{C3380CC4-5D6E-409C-BE32-E72D297353CC}">
                <c16:uniqueId val="{0000000C-8001-475A-BF84-1908178B05CC}"/>
              </c:ext>
            </c:extLst>
          </c:dPt>
          <c:dLbls>
            <c:spPr>
              <a:solidFill>
                <a:srgbClr val="FFFFFF">
                  <a:alpha val="50196"/>
                </a:srgbClr>
              </a:solidFill>
              <a:ln>
                <a:noFill/>
              </a:ln>
              <a:effectLst/>
            </c:spPr>
            <c:txPr>
              <a:bodyPr rot="0" spcFirstLastPara="1" vertOverflow="ellipsis" vert="horz" wrap="square" anchor="ctr" anchorCtr="1"/>
              <a:lstStyle/>
              <a:p>
                <a:pPr>
                  <a:defRPr sz="1100" b="0" i="0" u="none" strike="noStrike" kern="1200" baseline="0">
                    <a:solidFill>
                      <a:schemeClr val="dk1"/>
                    </a:solidFill>
                    <a:latin typeface="+mn-lt"/>
                    <a:ea typeface="+mn-ea"/>
                    <a:cs typeface="+mn-cs"/>
                  </a:defRPr>
                </a:pPr>
                <a:endParaRPr lang="en-U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'Rpt Cntnt'!$F$7:$F$8</c:f>
              <c:strCache>
                <c:ptCount val="2"/>
                <c:pt idx="0">
                  <c:v>Total Costs</c:v>
                </c:pt>
                <c:pt idx="1">
                  <c:v>Total Benefits</c:v>
                </c:pt>
              </c:strCache>
            </c:strRef>
          </c:cat>
          <c:val>
            <c:numRef>
              <c:f>'Rpt Cntnt'!$G$7:$G$8</c:f>
              <c:numCache>
                <c:formatCode>"$"#,##0</c:formatCode>
                <c:ptCount val="2"/>
                <c:pt idx="0">
                  <c:v>546.46280000000002</c:v>
                </c:pt>
                <c:pt idx="1">
                  <c:v>2927.3581726878592</c:v>
                </c:pt>
              </c:numCache>
            </c:numRef>
          </c:val>
          <c:extLst>
            <c:ext xmlns:c16="http://schemas.microsoft.com/office/drawing/2014/chart" uri="{C3380CC4-5D6E-409C-BE32-E72D297353CC}">
              <c16:uniqueId val="{00000002-8001-475A-BF84-1908178B05CC}"/>
            </c:ext>
          </c:extLst>
        </c:ser>
        <c:dLbls>
          <c:dLblPos val="ctr"/>
          <c:showLegendKey val="0"/>
          <c:showVal val="1"/>
          <c:showCatName val="0"/>
          <c:showSerName val="0"/>
          <c:showPercent val="0"/>
          <c:showBubbleSize val="0"/>
        </c:dLbls>
        <c:gapWidth val="100"/>
        <c:overlap val="100"/>
        <c:axId val="420838000"/>
        <c:axId val="420838392"/>
      </c:barChart>
      <c:catAx>
        <c:axId val="42083800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dk1"/>
                </a:solidFill>
                <a:latin typeface="+mn-lt"/>
                <a:ea typeface="+mn-ea"/>
                <a:cs typeface="+mn-cs"/>
              </a:defRPr>
            </a:pPr>
            <a:endParaRPr lang="en-US"/>
          </a:p>
        </c:txPr>
        <c:crossAx val="420838392"/>
        <c:crosses val="autoZero"/>
        <c:auto val="1"/>
        <c:lblAlgn val="ctr"/>
        <c:lblOffset val="100"/>
        <c:noMultiLvlLbl val="0"/>
      </c:catAx>
      <c:valAx>
        <c:axId val="4208383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dk1"/>
                </a:solidFill>
                <a:latin typeface="+mn-lt"/>
                <a:ea typeface="+mn-ea"/>
                <a:cs typeface="+mn-cs"/>
              </a:defRPr>
            </a:pPr>
            <a:endParaRPr lang="en-US"/>
          </a:p>
        </c:txPr>
        <c:crossAx val="420838000"/>
        <c:crosses val="autoZero"/>
        <c:crossBetween val="between"/>
        <c:dispUnits>
          <c:builtInUnit val="thousands"/>
          <c:dispUnitsLbl>
            <c:spPr>
              <a:noFill/>
              <a:ln>
                <a:noFill/>
              </a:ln>
              <a:effectLst/>
            </c:spPr>
            <c:txPr>
              <a:bodyPr rot="-5400000" spcFirstLastPara="1" vertOverflow="ellipsis" vert="horz" wrap="square" anchor="ctr" anchorCtr="1"/>
              <a:lstStyle/>
              <a:p>
                <a:pPr>
                  <a:defRPr sz="1400" b="0" i="0" u="none" strike="noStrike" kern="1200" baseline="0">
                    <a:solidFill>
                      <a:schemeClr val="dk1"/>
                    </a:solidFill>
                    <a:latin typeface="+mn-lt"/>
                    <a:ea typeface="+mn-ea"/>
                    <a:cs typeface="+mn-cs"/>
                  </a:defRPr>
                </a:pPr>
                <a:endParaRPr lang="en-US"/>
              </a:p>
            </c:txPr>
          </c:dispUnitsLbl>
        </c:dispUnits>
      </c:valAx>
      <c:spPr>
        <a:solidFill>
          <a:schemeClr val="bg1"/>
        </a:solidFill>
        <a:ln>
          <a:noFill/>
        </a:ln>
        <a:effectLst/>
      </c:spPr>
    </c:plotArea>
    <c:plotVisOnly val="1"/>
    <c:dispBlanksAs val="gap"/>
    <c:showDLblsOverMax val="0"/>
  </c:chart>
  <c:spPr>
    <a:solidFill>
      <a:schemeClr val="accent5">
        <a:lumMod val="20000"/>
        <a:lumOff val="80000"/>
      </a:schemeClr>
    </a:solidFill>
    <a:ln w="6350" cap="flat" cmpd="sng" algn="in">
      <a:solidFill>
        <a:schemeClr val="accent5"/>
      </a:solidFill>
      <a:prstDash val="solid"/>
      <a:round/>
    </a:ln>
    <a:effectLst/>
  </c:spPr>
  <c:txPr>
    <a:bodyPr/>
    <a:lstStyle/>
    <a:p>
      <a:pPr>
        <a:defRPr sz="1400">
          <a:solidFill>
            <a:schemeClr val="dk1"/>
          </a:solidFill>
          <a:latin typeface="+mn-lt"/>
          <a:ea typeface="+mn-ea"/>
          <a:cs typeface="+mn-cs"/>
        </a:defRPr>
      </a:pPr>
      <a:endParaRPr lang="en-US"/>
    </a:p>
  </c:txPr>
  <c:printSettings>
    <c:headerFooter/>
    <c:pageMargins b="0.75" l="0.7" r="0.7" t="0.75" header="0.3" footer="0.3"/>
    <c:pageSetup paperSize="0" orientation="landscape" horizontalDpi="0" verticalDpi="0" copies="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mn-lt"/>
                <a:ea typeface="+mn-ea"/>
                <a:cs typeface="+mn-cs"/>
              </a:defRPr>
            </a:pPr>
            <a:r>
              <a:rPr lang="en-US"/>
              <a:t>Benefit Summary</a:t>
            </a:r>
            <a:endParaRPr lang="en-US">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solidFill>
              </a:defRPr>
            </a:pPr>
            <a:r>
              <a:rPr lang="en-US" sz="1200" b="0">
                <a:effectLst/>
              </a:rPr>
              <a:t>(Thousands)</a:t>
            </a:r>
            <a:endParaRPr lang="en-US" sz="1200" b="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4300352135698342"/>
          <c:y val="0.27521615583176068"/>
          <c:w val="0.57036306404759907"/>
          <c:h val="0.66228107850155093"/>
        </c:manualLayout>
      </c:layout>
      <c:pieChart>
        <c:varyColors val="1"/>
        <c:ser>
          <c:idx val="0"/>
          <c:order val="0"/>
          <c:dPt>
            <c:idx val="0"/>
            <c:bubble3D val="0"/>
            <c:spPr>
              <a:gradFill rotWithShape="1">
                <a:gsLst>
                  <a:gs pos="0">
                    <a:schemeClr val="accent4">
                      <a:shade val="65000"/>
                      <a:tint val="94000"/>
                      <a:satMod val="103000"/>
                      <a:lumMod val="102000"/>
                    </a:schemeClr>
                  </a:gs>
                  <a:gs pos="50000">
                    <a:schemeClr val="accent4">
                      <a:shade val="65000"/>
                      <a:shade val="100000"/>
                      <a:satMod val="110000"/>
                      <a:lumMod val="100000"/>
                    </a:schemeClr>
                  </a:gs>
                  <a:gs pos="100000">
                    <a:schemeClr val="accent4">
                      <a:shade val="65000"/>
                      <a:shade val="78000"/>
                      <a:satMod val="120000"/>
                      <a:lumMod val="99000"/>
                    </a:schemeClr>
                  </a:gs>
                </a:gsLst>
                <a:lin ang="5400000" scaled="0"/>
              </a:gradFill>
              <a:ln>
                <a:noFill/>
              </a:ln>
              <a:effectLst/>
            </c:spPr>
            <c:extLst>
              <c:ext xmlns:c16="http://schemas.microsoft.com/office/drawing/2014/chart" uri="{C3380CC4-5D6E-409C-BE32-E72D297353CC}">
                <c16:uniqueId val="{00000001-BB64-4949-9E8E-569BF7D2AD50}"/>
              </c:ext>
            </c:extLst>
          </c:dPt>
          <c:dPt>
            <c:idx val="1"/>
            <c:bubble3D val="0"/>
            <c:spPr>
              <a:gradFill rotWithShape="1">
                <a:gsLst>
                  <a:gs pos="0">
                    <a:schemeClr val="accent4">
                      <a:tint val="94000"/>
                      <a:satMod val="103000"/>
                      <a:lumMod val="102000"/>
                    </a:schemeClr>
                  </a:gs>
                  <a:gs pos="50000">
                    <a:schemeClr val="accent4">
                      <a:shade val="100000"/>
                      <a:satMod val="110000"/>
                      <a:lumMod val="100000"/>
                    </a:schemeClr>
                  </a:gs>
                  <a:gs pos="100000">
                    <a:schemeClr val="accent4">
                      <a:shade val="78000"/>
                      <a:satMod val="120000"/>
                      <a:lumMod val="99000"/>
                    </a:schemeClr>
                  </a:gs>
                </a:gsLst>
                <a:lin ang="5400000" scaled="0"/>
              </a:gradFill>
              <a:ln>
                <a:noFill/>
              </a:ln>
              <a:effectLst/>
            </c:spPr>
            <c:extLst>
              <c:ext xmlns:c16="http://schemas.microsoft.com/office/drawing/2014/chart" uri="{C3380CC4-5D6E-409C-BE32-E72D297353CC}">
                <c16:uniqueId val="{00000003-BB64-4949-9E8E-569BF7D2AD50}"/>
              </c:ext>
            </c:extLst>
          </c:dPt>
          <c:dPt>
            <c:idx val="2"/>
            <c:bubble3D val="0"/>
            <c:spPr>
              <a:gradFill rotWithShape="1">
                <a:gsLst>
                  <a:gs pos="0">
                    <a:schemeClr val="accent4">
                      <a:tint val="65000"/>
                      <a:tint val="94000"/>
                      <a:satMod val="103000"/>
                      <a:lumMod val="102000"/>
                    </a:schemeClr>
                  </a:gs>
                  <a:gs pos="50000">
                    <a:schemeClr val="accent4">
                      <a:tint val="65000"/>
                      <a:shade val="100000"/>
                      <a:satMod val="110000"/>
                      <a:lumMod val="100000"/>
                    </a:schemeClr>
                  </a:gs>
                  <a:gs pos="100000">
                    <a:schemeClr val="accent4">
                      <a:tint val="65000"/>
                      <a:shade val="78000"/>
                      <a:satMod val="120000"/>
                      <a:lumMod val="99000"/>
                    </a:schemeClr>
                  </a:gs>
                </a:gsLst>
                <a:lin ang="5400000" scaled="0"/>
              </a:gradFill>
              <a:ln>
                <a:noFill/>
              </a:ln>
              <a:effectLst/>
            </c:spPr>
            <c:extLst>
              <c:ext xmlns:c16="http://schemas.microsoft.com/office/drawing/2014/chart" uri="{C3380CC4-5D6E-409C-BE32-E72D297353CC}">
                <c16:uniqueId val="{00000005-BB64-4949-9E8E-569BF7D2AD50}"/>
              </c:ext>
            </c:extLst>
          </c:dPt>
          <c:dLbls>
            <c:spPr>
              <a:solidFill>
                <a:srgbClr val="FFFFFF">
                  <a:alpha val="50196"/>
                </a:srgb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'Rpt Cntnt'!$F$34:$F$36</c:f>
              <c:strCache>
                <c:ptCount val="3"/>
                <c:pt idx="0">
                  <c:v>Revenue Gains (Margin)</c:v>
                </c:pt>
                <c:pt idx="1">
                  <c:v>Cost/TCO Savings</c:v>
                </c:pt>
                <c:pt idx="2">
                  <c:v>Productivity Savings</c:v>
                </c:pt>
              </c:strCache>
            </c:strRef>
          </c:cat>
          <c:val>
            <c:numRef>
              <c:f>'Rpt Cntnt'!$G$34:$G$36</c:f>
              <c:numCache>
                <c:formatCode>"$"#,##0</c:formatCode>
                <c:ptCount val="3"/>
                <c:pt idx="0">
                  <c:v>1080.558172687859</c:v>
                </c:pt>
                <c:pt idx="1">
                  <c:v>820.8</c:v>
                </c:pt>
                <c:pt idx="2">
                  <c:v>1026</c:v>
                </c:pt>
              </c:numCache>
            </c:numRef>
          </c:val>
          <c:extLst>
            <c:ext xmlns:c16="http://schemas.microsoft.com/office/drawing/2014/chart" uri="{C3380CC4-5D6E-409C-BE32-E72D297353CC}">
              <c16:uniqueId val="{00000006-BB64-4949-9E8E-569BF7D2AD50}"/>
            </c:ext>
          </c:extLst>
        </c:ser>
        <c:dLbls>
          <c:showLegendKey val="0"/>
          <c:showVal val="0"/>
          <c:showCatName val="1"/>
          <c:showSerName val="0"/>
          <c:showPercent val="1"/>
          <c:showBubbleSize val="0"/>
          <c:showLeaderLines val="0"/>
        </c:dLbls>
        <c:firstSliceAng val="0"/>
      </c:pieChart>
      <c:spPr>
        <a:noFill/>
        <a:ln>
          <a:noFill/>
        </a:ln>
        <a:effectLst/>
      </c:spPr>
    </c:plotArea>
    <c:plotVisOnly val="0"/>
    <c:dispBlanksAs val="gap"/>
    <c:showDLblsOverMax val="0"/>
  </c:chart>
  <c:spPr>
    <a:solidFill>
      <a:schemeClr val="accent5">
        <a:lumMod val="20000"/>
        <a:lumOff val="80000"/>
      </a:schemeClr>
    </a:solidFill>
    <a:ln w="6350" cap="flat" cmpd="sng" algn="in">
      <a:solidFill>
        <a:schemeClr val="accent5"/>
      </a:solidFill>
      <a:prstDash val="solid"/>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n-US"/>
              <a:t>Investment Summary</a:t>
            </a:r>
          </a:p>
          <a:p>
            <a:pPr>
              <a:defRPr/>
            </a:pPr>
            <a:r>
              <a:rPr lang="en-US" sz="1200" b="0"/>
              <a:t>(Thousands)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n-US"/>
        </a:p>
      </c:txPr>
    </c:title>
    <c:autoTitleDeleted val="0"/>
    <c:plotArea>
      <c:layout>
        <c:manualLayout>
          <c:layoutTarget val="inner"/>
          <c:xMode val="edge"/>
          <c:yMode val="edge"/>
          <c:x val="0.34370401251076305"/>
          <c:y val="0.3721079183283908"/>
          <c:w val="0.32958200708865093"/>
          <c:h val="0.44086955039710946"/>
        </c:manualLayout>
      </c:layout>
      <c:pieChart>
        <c:varyColors val="1"/>
        <c:ser>
          <c:idx val="0"/>
          <c:order val="0"/>
          <c:dPt>
            <c:idx val="0"/>
            <c:bubble3D val="0"/>
            <c:spPr>
              <a:gradFill rotWithShape="1">
                <a:gsLst>
                  <a:gs pos="0">
                    <a:schemeClr val="accent6">
                      <a:shade val="58000"/>
                      <a:tint val="94000"/>
                      <a:satMod val="103000"/>
                      <a:lumMod val="102000"/>
                    </a:schemeClr>
                  </a:gs>
                  <a:gs pos="50000">
                    <a:schemeClr val="accent6">
                      <a:shade val="58000"/>
                      <a:shade val="100000"/>
                      <a:satMod val="110000"/>
                      <a:lumMod val="100000"/>
                    </a:schemeClr>
                  </a:gs>
                  <a:gs pos="100000">
                    <a:schemeClr val="accent6">
                      <a:shade val="58000"/>
                      <a:shade val="78000"/>
                      <a:satMod val="120000"/>
                      <a:lumMod val="99000"/>
                    </a:schemeClr>
                  </a:gs>
                </a:gsLst>
                <a:lin ang="5400000" scaled="0"/>
              </a:gradFill>
              <a:ln>
                <a:noFill/>
              </a:ln>
              <a:effectLst/>
            </c:spPr>
            <c:extLst>
              <c:ext xmlns:c16="http://schemas.microsoft.com/office/drawing/2014/chart" uri="{C3380CC4-5D6E-409C-BE32-E72D297353CC}">
                <c16:uniqueId val="{00000001-C91C-45CA-BE6B-7B6500F12BA9}"/>
              </c:ext>
            </c:extLst>
          </c:dPt>
          <c:dPt>
            <c:idx val="1"/>
            <c:bubble3D val="0"/>
            <c:spPr>
              <a:gradFill rotWithShape="1">
                <a:gsLst>
                  <a:gs pos="0">
                    <a:schemeClr val="accent6">
                      <a:shade val="86000"/>
                      <a:tint val="94000"/>
                      <a:satMod val="103000"/>
                      <a:lumMod val="102000"/>
                    </a:schemeClr>
                  </a:gs>
                  <a:gs pos="50000">
                    <a:schemeClr val="accent6">
                      <a:shade val="86000"/>
                      <a:shade val="100000"/>
                      <a:satMod val="110000"/>
                      <a:lumMod val="100000"/>
                    </a:schemeClr>
                  </a:gs>
                  <a:gs pos="100000">
                    <a:schemeClr val="accent6">
                      <a:shade val="86000"/>
                      <a:shade val="78000"/>
                      <a:satMod val="120000"/>
                      <a:lumMod val="99000"/>
                    </a:schemeClr>
                  </a:gs>
                </a:gsLst>
                <a:lin ang="5400000" scaled="0"/>
              </a:gradFill>
              <a:ln>
                <a:noFill/>
              </a:ln>
              <a:effectLst/>
            </c:spPr>
            <c:extLst>
              <c:ext xmlns:c16="http://schemas.microsoft.com/office/drawing/2014/chart" uri="{C3380CC4-5D6E-409C-BE32-E72D297353CC}">
                <c16:uniqueId val="{00000003-C91C-45CA-BE6B-7B6500F12BA9}"/>
              </c:ext>
            </c:extLst>
          </c:dPt>
          <c:dPt>
            <c:idx val="2"/>
            <c:bubble3D val="0"/>
            <c:spPr>
              <a:gradFill rotWithShape="1">
                <a:gsLst>
                  <a:gs pos="0">
                    <a:schemeClr val="accent6">
                      <a:tint val="86000"/>
                      <a:tint val="94000"/>
                      <a:satMod val="103000"/>
                      <a:lumMod val="102000"/>
                    </a:schemeClr>
                  </a:gs>
                  <a:gs pos="50000">
                    <a:schemeClr val="accent6">
                      <a:tint val="86000"/>
                      <a:shade val="100000"/>
                      <a:satMod val="110000"/>
                      <a:lumMod val="100000"/>
                    </a:schemeClr>
                  </a:gs>
                  <a:gs pos="100000">
                    <a:schemeClr val="accent6">
                      <a:tint val="86000"/>
                      <a:shade val="78000"/>
                      <a:satMod val="120000"/>
                      <a:lumMod val="99000"/>
                    </a:schemeClr>
                  </a:gs>
                </a:gsLst>
                <a:lin ang="5400000" scaled="0"/>
              </a:gradFill>
              <a:ln>
                <a:noFill/>
              </a:ln>
              <a:effectLst/>
            </c:spPr>
            <c:extLst>
              <c:ext xmlns:c16="http://schemas.microsoft.com/office/drawing/2014/chart" uri="{C3380CC4-5D6E-409C-BE32-E72D297353CC}">
                <c16:uniqueId val="{00000005-C91C-45CA-BE6B-7B6500F12BA9}"/>
              </c:ext>
            </c:extLst>
          </c:dPt>
          <c:dPt>
            <c:idx val="3"/>
            <c:bubble3D val="0"/>
            <c:spPr>
              <a:gradFill rotWithShape="1">
                <a:gsLst>
                  <a:gs pos="0">
                    <a:schemeClr val="accent6">
                      <a:tint val="58000"/>
                      <a:tint val="94000"/>
                      <a:satMod val="103000"/>
                      <a:lumMod val="102000"/>
                    </a:schemeClr>
                  </a:gs>
                  <a:gs pos="50000">
                    <a:schemeClr val="accent6">
                      <a:tint val="58000"/>
                      <a:shade val="100000"/>
                      <a:satMod val="110000"/>
                      <a:lumMod val="100000"/>
                    </a:schemeClr>
                  </a:gs>
                  <a:gs pos="100000">
                    <a:schemeClr val="accent6">
                      <a:tint val="58000"/>
                      <a:shade val="78000"/>
                      <a:satMod val="120000"/>
                      <a:lumMod val="99000"/>
                    </a:schemeClr>
                  </a:gs>
                </a:gsLst>
                <a:lin ang="5400000" scaled="0"/>
              </a:gradFill>
              <a:ln>
                <a:noFill/>
              </a:ln>
              <a:effectLst/>
            </c:spPr>
            <c:extLst>
              <c:ext xmlns:c16="http://schemas.microsoft.com/office/drawing/2014/chart" uri="{C3380CC4-5D6E-409C-BE32-E72D297353CC}">
                <c16:uniqueId val="{00000007-C91C-45CA-BE6B-7B6500F12BA9}"/>
              </c:ext>
            </c:extLst>
          </c:dPt>
          <c:dPt>
            <c:idx val="4"/>
            <c:bubble3D val="0"/>
            <c:spPr>
              <a:gradFill rotWithShape="1">
                <a:gsLst>
                  <a:gs pos="0">
                    <a:schemeClr val="accent6">
                      <a:tint val="30000"/>
                      <a:tint val="94000"/>
                      <a:satMod val="103000"/>
                      <a:lumMod val="102000"/>
                    </a:schemeClr>
                  </a:gs>
                  <a:gs pos="50000">
                    <a:schemeClr val="accent6">
                      <a:tint val="30000"/>
                      <a:shade val="100000"/>
                      <a:satMod val="110000"/>
                      <a:lumMod val="100000"/>
                    </a:schemeClr>
                  </a:gs>
                  <a:gs pos="100000">
                    <a:schemeClr val="accent6">
                      <a:tint val="30000"/>
                      <a:shade val="78000"/>
                      <a:satMod val="120000"/>
                      <a:lumMod val="99000"/>
                    </a:schemeClr>
                  </a:gs>
                </a:gsLst>
                <a:lin ang="5400000" scaled="0"/>
              </a:gradFill>
              <a:ln>
                <a:noFill/>
              </a:ln>
              <a:effectLst/>
            </c:spPr>
            <c:extLst>
              <c:ext xmlns:c16="http://schemas.microsoft.com/office/drawing/2014/chart" uri="{C3380CC4-5D6E-409C-BE32-E72D297353CC}">
                <c16:uniqueId val="{00000009-C91C-45CA-BE6B-7B6500F12BA9}"/>
              </c:ext>
            </c:extLst>
          </c:dPt>
          <c:dLbls>
            <c:spPr>
              <a:solidFill>
                <a:srgbClr val="FFFFFF">
                  <a:alpha val="50196"/>
                </a:srgb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'Rpt Cntnt'!$F$18:$F$21</c:f>
              <c:strCache>
                <c:ptCount val="4"/>
                <c:pt idx="0">
                  <c:v>Vendor Costs</c:v>
                </c:pt>
                <c:pt idx="1">
                  <c:v>Internal Costs</c:v>
                </c:pt>
                <c:pt idx="2">
                  <c:v>Internal Labor</c:v>
                </c:pt>
                <c:pt idx="3">
                  <c:v>3rd Party Services</c:v>
                </c:pt>
              </c:strCache>
            </c:strRef>
          </c:cat>
          <c:val>
            <c:numRef>
              <c:f>'Rpt Cntnt'!$G$18:$G$21</c:f>
              <c:numCache>
                <c:formatCode>"$"#,##0</c:formatCode>
                <c:ptCount val="4"/>
                <c:pt idx="0">
                  <c:v>275.88</c:v>
                </c:pt>
                <c:pt idx="1">
                  <c:v>45.964800000000004</c:v>
                </c:pt>
                <c:pt idx="2">
                  <c:v>178.10599999999999</c:v>
                </c:pt>
                <c:pt idx="3">
                  <c:v>46.512</c:v>
                </c:pt>
              </c:numCache>
            </c:numRef>
          </c:val>
          <c:extLst>
            <c:ext xmlns:c16="http://schemas.microsoft.com/office/drawing/2014/chart" uri="{C3380CC4-5D6E-409C-BE32-E72D297353CC}">
              <c16:uniqueId val="{0000000A-C91C-45CA-BE6B-7B6500F12BA9}"/>
            </c:ext>
          </c:extLst>
        </c:ser>
        <c:dLbls>
          <c:showLegendKey val="0"/>
          <c:showVal val="0"/>
          <c:showCatName val="1"/>
          <c:showSerName val="0"/>
          <c:showPercent val="1"/>
          <c:showBubbleSize val="0"/>
          <c:showLeaderLines val="0"/>
        </c:dLbls>
        <c:firstSliceAng val="0"/>
      </c:pieChart>
      <c:spPr>
        <a:noFill/>
        <a:ln>
          <a:noFill/>
        </a:ln>
        <a:effectLst/>
      </c:spPr>
    </c:plotArea>
    <c:plotVisOnly val="0"/>
    <c:dispBlanksAs val="gap"/>
    <c:showDLblsOverMax val="0"/>
  </c:chart>
  <c:spPr>
    <a:solidFill>
      <a:schemeClr val="accent5">
        <a:lumMod val="20000"/>
        <a:lumOff val="80000"/>
      </a:schemeClr>
    </a:solidFill>
    <a:ln w="6350" cap="flat" cmpd="sng" algn="in">
      <a:solidFill>
        <a:schemeClr val="accent5"/>
      </a:solidFill>
      <a:prstDash val="solid"/>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sz="1400"/>
              <a:t>Costs &amp; Benefits by Year</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0.12597642726457842"/>
          <c:y val="0.11020137981122416"/>
          <c:w val="0.83330519101778944"/>
          <c:h val="0.68101654002338119"/>
        </c:manualLayout>
      </c:layout>
      <c:barChart>
        <c:barDir val="col"/>
        <c:grouping val="clustered"/>
        <c:varyColors val="0"/>
        <c:ser>
          <c:idx val="2"/>
          <c:order val="0"/>
          <c:tx>
            <c:strRef>
              <c:f>ROI!$D$51</c:f>
              <c:strCache>
                <c:ptCount val="1"/>
                <c:pt idx="0">
                  <c:v>Costs</c:v>
                </c:pt>
              </c:strCache>
            </c:strRef>
          </c:tx>
          <c:spPr>
            <a:gradFill rotWithShape="1">
              <a:gsLst>
                <a:gs pos="0">
                  <a:srgbClr val="E28394">
                    <a:satMod val="103000"/>
                    <a:lumMod val="102000"/>
                    <a:tint val="94000"/>
                  </a:srgbClr>
                </a:gs>
                <a:gs pos="50000">
                  <a:srgbClr val="E28394">
                    <a:satMod val="110000"/>
                    <a:lumMod val="100000"/>
                    <a:shade val="100000"/>
                  </a:srgbClr>
                </a:gs>
                <a:gs pos="100000">
                  <a:srgbClr val="E28394">
                    <a:lumMod val="99000"/>
                    <a:satMod val="120000"/>
                    <a:shade val="78000"/>
                  </a:srgbClr>
                </a:gs>
              </a:gsLst>
              <a:lin ang="5400000" scaled="0"/>
            </a:gradFill>
            <a:ln>
              <a:noFill/>
            </a:ln>
            <a:effectLst>
              <a:outerShdw blurRad="57150" dist="19050" dir="5400000" algn="ctr" rotWithShape="0">
                <a:srgbClr val="000000">
                  <a:alpha val="63000"/>
                </a:srgbClr>
              </a:outerShdw>
            </a:effectLst>
          </c:spPr>
          <c:invertIfNegative val="0"/>
          <c:cat>
            <c:strRef>
              <c:f>[0]!dRoiYr</c:f>
              <c:strCache>
                <c:ptCount val="6"/>
                <c:pt idx="0">
                  <c:v>Initial</c:v>
                </c:pt>
                <c:pt idx="1">
                  <c:v>Year 1</c:v>
                </c:pt>
                <c:pt idx="2">
                  <c:v>Year 2</c:v>
                </c:pt>
                <c:pt idx="3">
                  <c:v>Year 3</c:v>
                </c:pt>
                <c:pt idx="4">
                  <c:v>Year 4</c:v>
                </c:pt>
                <c:pt idx="5">
                  <c:v>Year 5</c:v>
                </c:pt>
              </c:strCache>
            </c:strRef>
          </c:cat>
          <c:val>
            <c:numRef>
              <c:f>[0]!dRoiCosts</c:f>
              <c:numCache>
                <c:formatCode>[$$]#,##0</c:formatCode>
                <c:ptCount val="6"/>
                <c:pt idx="0">
                  <c:v>-224504</c:v>
                </c:pt>
                <c:pt idx="1">
                  <c:v>-64391.759999999995</c:v>
                </c:pt>
                <c:pt idx="2">
                  <c:v>-64391.759999999995</c:v>
                </c:pt>
                <c:pt idx="3">
                  <c:v>-64391.759999999995</c:v>
                </c:pt>
                <c:pt idx="4">
                  <c:v>-64391.759999999995</c:v>
                </c:pt>
                <c:pt idx="5">
                  <c:v>-64391.759999999995</c:v>
                </c:pt>
              </c:numCache>
            </c:numRef>
          </c:val>
          <c:extLst>
            <c:ext xmlns:c16="http://schemas.microsoft.com/office/drawing/2014/chart" uri="{C3380CC4-5D6E-409C-BE32-E72D297353CC}">
              <c16:uniqueId val="{00000000-9051-40A7-9B24-E26B8EB54111}"/>
            </c:ext>
          </c:extLst>
        </c:ser>
        <c:ser>
          <c:idx val="0"/>
          <c:order val="1"/>
          <c:tx>
            <c:strRef>
              <c:f>ROI!$E$51</c:f>
              <c:strCache>
                <c:ptCount val="1"/>
                <c:pt idx="0">
                  <c:v>Benefits</c:v>
                </c:pt>
              </c:strCache>
            </c:strRef>
          </c:tx>
          <c:spPr>
            <a:gradFill rotWithShape="1">
              <a:gsLst>
                <a:gs pos="0">
                  <a:srgbClr val="8DAB8E">
                    <a:satMod val="103000"/>
                    <a:lumMod val="102000"/>
                    <a:tint val="94000"/>
                  </a:srgbClr>
                </a:gs>
                <a:gs pos="50000">
                  <a:srgbClr val="8DAB8E">
                    <a:satMod val="110000"/>
                    <a:lumMod val="100000"/>
                    <a:shade val="100000"/>
                  </a:srgbClr>
                </a:gs>
                <a:gs pos="100000">
                  <a:srgbClr val="8DAB8E">
                    <a:lumMod val="99000"/>
                    <a:satMod val="120000"/>
                    <a:shade val="78000"/>
                  </a:srgbClr>
                </a:gs>
              </a:gsLst>
              <a:lin ang="5400000" scaled="0"/>
            </a:gradFill>
            <a:ln>
              <a:noFill/>
            </a:ln>
            <a:effectLst>
              <a:outerShdw blurRad="57150" dist="19050" dir="5400000" algn="ctr" rotWithShape="0">
                <a:srgbClr val="000000">
                  <a:alpha val="63000"/>
                </a:srgbClr>
              </a:outerShdw>
            </a:effectLst>
          </c:spPr>
          <c:invertIfNegative val="0"/>
          <c:cat>
            <c:strRef>
              <c:f>[0]!dRoiYr</c:f>
              <c:strCache>
                <c:ptCount val="6"/>
                <c:pt idx="0">
                  <c:v>Initial</c:v>
                </c:pt>
                <c:pt idx="1">
                  <c:v>Year 1</c:v>
                </c:pt>
                <c:pt idx="2">
                  <c:v>Year 2</c:v>
                </c:pt>
                <c:pt idx="3">
                  <c:v>Year 3</c:v>
                </c:pt>
                <c:pt idx="4">
                  <c:v>Year 4</c:v>
                </c:pt>
                <c:pt idx="5">
                  <c:v>Year 5</c:v>
                </c:pt>
              </c:strCache>
            </c:strRef>
          </c:cat>
          <c:val>
            <c:numRef>
              <c:f>[0]!dRoiBen</c:f>
              <c:numCache>
                <c:formatCode>[$$]#,##0</c:formatCode>
                <c:ptCount val="6"/>
                <c:pt idx="0">
                  <c:v>0</c:v>
                </c:pt>
                <c:pt idx="1">
                  <c:v>585471.63453757181</c:v>
                </c:pt>
                <c:pt idx="2">
                  <c:v>585471.63453757181</c:v>
                </c:pt>
                <c:pt idx="3">
                  <c:v>585471.63453757181</c:v>
                </c:pt>
                <c:pt idx="4">
                  <c:v>585471.63453757181</c:v>
                </c:pt>
                <c:pt idx="5">
                  <c:v>585471.63453757181</c:v>
                </c:pt>
              </c:numCache>
            </c:numRef>
          </c:val>
          <c:extLst>
            <c:ext xmlns:c16="http://schemas.microsoft.com/office/drawing/2014/chart" uri="{C3380CC4-5D6E-409C-BE32-E72D297353CC}">
              <c16:uniqueId val="{0000000E-9051-40A7-9B24-E26B8EB54111}"/>
            </c:ext>
          </c:extLst>
        </c:ser>
        <c:dLbls>
          <c:showLegendKey val="0"/>
          <c:showVal val="0"/>
          <c:showCatName val="0"/>
          <c:showSerName val="0"/>
          <c:showPercent val="0"/>
          <c:showBubbleSize val="0"/>
        </c:dLbls>
        <c:gapWidth val="150"/>
        <c:axId val="355518160"/>
        <c:axId val="353260216"/>
      </c:barChart>
      <c:lineChart>
        <c:grouping val="standard"/>
        <c:varyColors val="0"/>
        <c:ser>
          <c:idx val="1"/>
          <c:order val="2"/>
          <c:tx>
            <c:strRef>
              <c:f>ROI!$F$51</c:f>
              <c:strCache>
                <c:ptCount val="1"/>
                <c:pt idx="0">
                  <c:v>Cumulative</c:v>
                </c:pt>
              </c:strCache>
            </c:strRef>
          </c:tx>
          <c:spPr>
            <a:ln w="19050" cap="rnd" cmpd="sng" algn="ctr">
              <a:solidFill>
                <a:sysClr val="windowText" lastClr="000000">
                  <a:lumMod val="50000"/>
                  <a:lumOff val="50000"/>
                </a:sysClr>
              </a:solidFill>
              <a:prstDash val="solid"/>
              <a:round/>
            </a:ln>
            <a:effectLst>
              <a:outerShdw blurRad="57150" dist="19050" dir="5400000" algn="ctr" rotWithShape="0">
                <a:srgbClr val="000000">
                  <a:alpha val="63000"/>
                </a:srgbClr>
              </a:outerShdw>
            </a:effectLst>
          </c:spPr>
          <c:marker>
            <c:spPr>
              <a:gradFill rotWithShape="1">
                <a:gsLst>
                  <a:gs pos="0">
                    <a:srgbClr val="77A2BB">
                      <a:satMod val="103000"/>
                      <a:lumMod val="102000"/>
                      <a:tint val="94000"/>
                    </a:srgbClr>
                  </a:gs>
                  <a:gs pos="50000">
                    <a:srgbClr val="77A2BB">
                      <a:satMod val="110000"/>
                      <a:lumMod val="100000"/>
                      <a:shade val="100000"/>
                    </a:srgbClr>
                  </a:gs>
                  <a:gs pos="100000">
                    <a:srgbClr val="77A2BB">
                      <a:lumMod val="99000"/>
                      <a:satMod val="120000"/>
                      <a:shade val="78000"/>
                    </a:srgbClr>
                  </a:gs>
                </a:gsLst>
                <a:lin ang="5400000" scaled="0"/>
              </a:gradFill>
              <a:ln w="19050" cap="flat" cmpd="sng" algn="ctr">
                <a:solidFill>
                  <a:sysClr val="windowText" lastClr="000000">
                    <a:lumMod val="50000"/>
                    <a:lumOff val="50000"/>
                  </a:sysClr>
                </a:solidFill>
                <a:prstDash val="solid"/>
                <a:round/>
              </a:ln>
              <a:effectLst>
                <a:outerShdw blurRad="57150" dist="19050" dir="5400000" algn="ctr" rotWithShape="0">
                  <a:srgbClr val="000000">
                    <a:alpha val="63000"/>
                  </a:srgbClr>
                </a:outerShdw>
              </a:effectLst>
            </c:spPr>
          </c:marker>
          <c:cat>
            <c:strRef>
              <c:f>ROI!$C$52:$C$62</c:f>
              <c:strCache>
                <c:ptCount val="11"/>
                <c:pt idx="0">
                  <c:v>Initial</c:v>
                </c:pt>
                <c:pt idx="1">
                  <c:v>Year 1</c:v>
                </c:pt>
                <c:pt idx="2">
                  <c:v>Year 2</c:v>
                </c:pt>
                <c:pt idx="3">
                  <c:v>Year 3</c:v>
                </c:pt>
                <c:pt idx="4">
                  <c:v>Year 4</c:v>
                </c:pt>
                <c:pt idx="5">
                  <c:v>Year 5</c:v>
                </c:pt>
                <c:pt idx="6">
                  <c:v>Year 6</c:v>
                </c:pt>
                <c:pt idx="7">
                  <c:v>Year 7</c:v>
                </c:pt>
                <c:pt idx="8">
                  <c:v>Year 8</c:v>
                </c:pt>
                <c:pt idx="9">
                  <c:v>Year 9</c:v>
                </c:pt>
                <c:pt idx="10">
                  <c:v>Year 10</c:v>
                </c:pt>
              </c:strCache>
            </c:strRef>
          </c:cat>
          <c:val>
            <c:numRef>
              <c:f>[0]!dRoiCum</c:f>
              <c:numCache>
                <c:formatCode>[$$]#,##0</c:formatCode>
                <c:ptCount val="6"/>
                <c:pt idx="0">
                  <c:v>-224504</c:v>
                </c:pt>
                <c:pt idx="1">
                  <c:v>296575.8745375718</c:v>
                </c:pt>
                <c:pt idx="2">
                  <c:v>817655.7490751436</c:v>
                </c:pt>
                <c:pt idx="3">
                  <c:v>1338735.6236127154</c:v>
                </c:pt>
                <c:pt idx="4">
                  <c:v>1859815.4981502872</c:v>
                </c:pt>
                <c:pt idx="5">
                  <c:v>2380895.372687859</c:v>
                </c:pt>
              </c:numCache>
            </c:numRef>
          </c:val>
          <c:smooth val="0"/>
          <c:extLst>
            <c:ext xmlns:c16="http://schemas.microsoft.com/office/drawing/2014/chart" uri="{C3380CC4-5D6E-409C-BE32-E72D297353CC}">
              <c16:uniqueId val="{0000000F-9051-40A7-9B24-E26B8EB54111}"/>
            </c:ext>
          </c:extLst>
        </c:ser>
        <c:dLbls>
          <c:showLegendKey val="0"/>
          <c:showVal val="0"/>
          <c:showCatName val="0"/>
          <c:showSerName val="0"/>
          <c:showPercent val="0"/>
          <c:showBubbleSize val="0"/>
        </c:dLbls>
        <c:marker val="1"/>
        <c:smooth val="0"/>
        <c:axId val="355518160"/>
        <c:axId val="353260216"/>
      </c:lineChart>
      <c:catAx>
        <c:axId val="355518160"/>
        <c:scaling>
          <c:orientation val="minMax"/>
        </c:scaling>
        <c:delete val="0"/>
        <c:axPos val="b"/>
        <c:numFmt formatCode="General" sourceLinked="0"/>
        <c:majorTickMark val="none"/>
        <c:minorTickMark val="none"/>
        <c:tickLblPos val="low"/>
        <c:spPr>
          <a:noFill/>
          <a:ln w="19050" cap="flat" cmpd="sng" algn="ctr">
            <a:solidFill>
              <a:sysClr val="windowText" lastClr="000000"/>
            </a:solidFill>
            <a:prstDash val="solid"/>
            <a:miter lim="800000"/>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crossAx val="353260216"/>
        <c:crosses val="autoZero"/>
        <c:auto val="1"/>
        <c:lblAlgn val="ctr"/>
        <c:lblOffset val="100"/>
        <c:noMultiLvlLbl val="0"/>
      </c:catAx>
      <c:valAx>
        <c:axId val="353260216"/>
        <c:scaling>
          <c:orientation val="minMax"/>
        </c:scaling>
        <c:delete val="0"/>
        <c:axPos val="l"/>
        <c:numFmt formatCode="[$$]#,##0" sourceLinked="1"/>
        <c:majorTickMark val="none"/>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55518160"/>
        <c:crosses val="autoZero"/>
        <c:crossBetween val="between"/>
        <c:dispUnits>
          <c:builtInUnit val="thousands"/>
          <c:dispUnitsLbl>
            <c:layout>
              <c:manualLayout>
                <c:xMode val="edge"/>
                <c:yMode val="edge"/>
                <c:x val="1.2290525616351158E-3"/>
                <c:y val="0.38651035866174299"/>
              </c:manualLayout>
            </c:layout>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n-US"/>
              </a:p>
            </c:txPr>
          </c:dispUnitsLbl>
        </c:dispUnits>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800" b="0" i="0" u="none" strike="noStrike" kern="1200" baseline="0">
                <a:solidFill>
                  <a:schemeClr val="tx1"/>
                </a:solidFill>
                <a:latin typeface="+mn-lt"/>
                <a:ea typeface="+mn-ea"/>
                <a:cs typeface="+mn-cs"/>
              </a:defRPr>
            </a:pPr>
            <a:endParaRPr lang="en-US"/>
          </a:p>
        </c:txPr>
      </c:dTable>
      <c:spPr>
        <a:solidFill>
          <a:schemeClr val="bg1"/>
        </a:solidFill>
        <a:ln>
          <a:noFill/>
        </a:ln>
        <a:effectLst/>
      </c:spPr>
    </c:plotArea>
    <c:legend>
      <c:legendPos val="b"/>
      <c:layout>
        <c:manualLayout>
          <c:xMode val="edge"/>
          <c:yMode val="edge"/>
          <c:x val="0.17376057159521727"/>
          <c:y val="0.14479914094581731"/>
          <c:w val="0.37623540072830192"/>
          <c:h val="7.7674115256064852E-2"/>
        </c:manualLayout>
      </c:layout>
      <c:overlay val="0"/>
      <c:spPr>
        <a:solidFill>
          <a:srgbClr val="FFFFFF">
            <a:alpha val="50196"/>
          </a:srgbClr>
        </a:solid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legend>
    <c:plotVisOnly val="0"/>
    <c:dispBlanksAs val="zero"/>
    <c:showDLblsOverMax val="0"/>
  </c:chart>
  <c:spPr>
    <a:solidFill>
      <a:srgbClr val="77A2BB">
        <a:lumMod val="20000"/>
        <a:lumOff val="80000"/>
      </a:srgbClr>
    </a:solidFill>
    <a:ln w="6350" cap="flat" cmpd="sng" algn="ctr">
      <a:solidFill>
        <a:srgbClr val="77A2BB"/>
      </a:solidFill>
      <a:prstDash val="solid"/>
      <a:round/>
    </a:ln>
    <a:effectLst/>
  </c:spPr>
  <c:txPr>
    <a:bodyPr/>
    <a:lstStyle/>
    <a:p>
      <a:pPr>
        <a:defRPr sz="105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ROI!$O$4</c:f>
          <c:strCache>
            <c:ptCount val="1"/>
            <c:pt idx="0">
              <c:v>Costs Vs Benefits (Total 5-Year)</c:v>
            </c:pt>
          </c:strCache>
        </c:strRef>
      </c:tx>
      <c:overlay val="0"/>
      <c:spPr>
        <a:noFill/>
        <a:ln>
          <a:noFill/>
        </a:ln>
        <a:effectLst/>
      </c:spPr>
      <c:txPr>
        <a:bodyPr rot="0" spcFirstLastPara="1" vertOverflow="ellipsis" vert="horz" wrap="square" anchor="ctr" anchorCtr="1"/>
        <a:lstStyle/>
        <a:p>
          <a:pPr>
            <a:defRPr sz="1200" b="1"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24102143482064742"/>
          <c:y val="0.22657392825896761"/>
          <c:w val="0.70592082239720044"/>
          <c:h val="0.62753674540682414"/>
        </c:manualLayout>
      </c:layout>
      <c:barChart>
        <c:barDir val="col"/>
        <c:grouping val="stacked"/>
        <c:varyColors val="0"/>
        <c:ser>
          <c:idx val="0"/>
          <c:order val="0"/>
          <c:tx>
            <c:strRef>
              <c:f>'Rpt Cntnt'!$G$6</c:f>
              <c:strCache>
                <c:ptCount val="1"/>
                <c:pt idx="0">
                  <c:v>Total (5-Year)</c:v>
                </c:pt>
              </c:strCache>
            </c:strRef>
          </c:tx>
          <c:spPr>
            <a:solidFill>
              <a:schemeClr val="accent1"/>
            </a:solidFill>
            <a:ln>
              <a:noFill/>
            </a:ln>
            <a:effectLst/>
          </c:spPr>
          <c:invertIfNegative val="0"/>
          <c:dPt>
            <c:idx val="0"/>
            <c:invertIfNegative val="0"/>
            <c:bubble3D val="0"/>
            <c:spPr>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lin ang="16200000" scaled="1"/>
                <a:tileRect/>
              </a:gradFill>
              <a:ln w="6350" cap="flat" cmpd="sng" algn="in">
                <a:solidFill>
                  <a:schemeClr val="accent6"/>
                </a:solidFill>
                <a:prstDash val="solid"/>
              </a:ln>
              <a:effectLst/>
            </c:spPr>
            <c:extLst>
              <c:ext xmlns:c16="http://schemas.microsoft.com/office/drawing/2014/chart" uri="{C3380CC4-5D6E-409C-BE32-E72D297353CC}">
                <c16:uniqueId val="{00000001-B129-4120-B625-A566167DF735}"/>
              </c:ext>
            </c:extLst>
          </c:dPt>
          <c:dPt>
            <c:idx val="1"/>
            <c:invertIfNegative val="0"/>
            <c:bubble3D val="0"/>
            <c:spPr>
              <a:gradFill flip="none" rotWithShape="1">
                <a:gsLst>
                  <a:gs pos="0">
                    <a:schemeClr val="accent4">
                      <a:tint val="94000"/>
                      <a:satMod val="103000"/>
                      <a:lumMod val="102000"/>
                    </a:schemeClr>
                  </a:gs>
                  <a:gs pos="50000">
                    <a:schemeClr val="accent4">
                      <a:shade val="100000"/>
                      <a:satMod val="110000"/>
                      <a:lumMod val="100000"/>
                    </a:schemeClr>
                  </a:gs>
                  <a:gs pos="100000">
                    <a:schemeClr val="accent4">
                      <a:shade val="78000"/>
                      <a:satMod val="120000"/>
                      <a:lumMod val="99000"/>
                    </a:schemeClr>
                  </a:gs>
                </a:gsLst>
                <a:lin ang="5400000" scaled="1"/>
                <a:tileRect/>
              </a:gradFill>
              <a:ln w="6350" cap="flat" cmpd="sng" algn="in">
                <a:solidFill>
                  <a:schemeClr val="accent4"/>
                </a:solidFill>
                <a:prstDash val="solid"/>
              </a:ln>
              <a:effectLst/>
            </c:spPr>
            <c:extLst>
              <c:ext xmlns:c16="http://schemas.microsoft.com/office/drawing/2014/chart" uri="{C3380CC4-5D6E-409C-BE32-E72D297353CC}">
                <c16:uniqueId val="{00000003-B129-4120-B625-A566167DF735}"/>
              </c:ext>
            </c:extLst>
          </c:dPt>
          <c:dLbls>
            <c:spPr>
              <a:solidFill>
                <a:srgbClr val="FFFFFF">
                  <a:alpha val="50196"/>
                </a:srgbClr>
              </a:solidFill>
              <a:ln>
                <a:noFill/>
              </a:ln>
              <a:effectLst/>
            </c:spPr>
            <c:txPr>
              <a:bodyPr rot="0" spcFirstLastPara="1" vertOverflow="ellipsis" vert="horz" wrap="square" anchor="ctr" anchorCtr="1"/>
              <a:lstStyle/>
              <a:p>
                <a:pPr>
                  <a:defRPr sz="800" b="0" i="0" u="none" strike="noStrike" kern="1200" baseline="0">
                    <a:solidFill>
                      <a:schemeClr val="dk1"/>
                    </a:solidFill>
                    <a:latin typeface="+mn-lt"/>
                    <a:ea typeface="+mn-ea"/>
                    <a:cs typeface="+mn-cs"/>
                  </a:defRPr>
                </a:pPr>
                <a:endParaRPr lang="en-U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'Rpt Cntnt'!$F$7:$F$8</c:f>
              <c:strCache>
                <c:ptCount val="2"/>
                <c:pt idx="0">
                  <c:v>Total Costs</c:v>
                </c:pt>
                <c:pt idx="1">
                  <c:v>Total Benefits</c:v>
                </c:pt>
              </c:strCache>
            </c:strRef>
          </c:cat>
          <c:val>
            <c:numRef>
              <c:f>'Rpt Cntnt'!$G$7:$G$8</c:f>
              <c:numCache>
                <c:formatCode>"$"#,##0</c:formatCode>
                <c:ptCount val="2"/>
                <c:pt idx="0">
                  <c:v>546.46280000000002</c:v>
                </c:pt>
                <c:pt idx="1">
                  <c:v>2927.3581726878592</c:v>
                </c:pt>
              </c:numCache>
            </c:numRef>
          </c:val>
          <c:extLst>
            <c:ext xmlns:c16="http://schemas.microsoft.com/office/drawing/2014/chart" uri="{C3380CC4-5D6E-409C-BE32-E72D297353CC}">
              <c16:uniqueId val="{00000004-B129-4120-B625-A566167DF735}"/>
            </c:ext>
          </c:extLst>
        </c:ser>
        <c:dLbls>
          <c:dLblPos val="ctr"/>
          <c:showLegendKey val="0"/>
          <c:showVal val="1"/>
          <c:showCatName val="0"/>
          <c:showSerName val="0"/>
          <c:showPercent val="0"/>
          <c:showBubbleSize val="0"/>
        </c:dLbls>
        <c:gapWidth val="34"/>
        <c:overlap val="45"/>
        <c:axId val="420838000"/>
        <c:axId val="420838392"/>
      </c:barChart>
      <c:catAx>
        <c:axId val="42083800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420838392"/>
        <c:crosses val="autoZero"/>
        <c:auto val="1"/>
        <c:lblAlgn val="ctr"/>
        <c:lblOffset val="100"/>
        <c:noMultiLvlLbl val="0"/>
      </c:catAx>
      <c:valAx>
        <c:axId val="4208383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420838000"/>
        <c:crosses val="autoZero"/>
        <c:crossBetween val="between"/>
        <c:dispUnits>
          <c:builtInUnit val="thousands"/>
          <c:dispUnitsLbl>
            <c:spPr>
              <a:noFill/>
              <a:ln>
                <a:noFill/>
              </a:ln>
              <a:effectLst/>
            </c:spPr>
            <c:txPr>
              <a:bodyPr rot="-54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dispUnitsLbl>
        </c:dispUnits>
      </c:valAx>
      <c:spPr>
        <a:solidFill>
          <a:schemeClr val="bg1"/>
        </a:solidFill>
        <a:ln>
          <a:noFill/>
        </a:ln>
        <a:effectLst/>
      </c:spPr>
    </c:plotArea>
    <c:plotVisOnly val="1"/>
    <c:dispBlanksAs val="gap"/>
    <c:showDLblsOverMax val="0"/>
  </c:chart>
  <c:spPr>
    <a:solidFill>
      <a:schemeClr val="accent5">
        <a:lumMod val="20000"/>
        <a:lumOff val="80000"/>
      </a:schemeClr>
    </a:solidFill>
    <a:ln w="6350" cap="flat" cmpd="sng" algn="in">
      <a:solidFill>
        <a:schemeClr val="accent5"/>
      </a:solidFill>
      <a:prstDash val="solid"/>
      <a:round/>
    </a:ln>
    <a:effectLst/>
  </c:spPr>
  <c:txPr>
    <a:bodyPr/>
    <a:lstStyle/>
    <a:p>
      <a:pPr>
        <a:defRPr sz="1000">
          <a:solidFill>
            <a:schemeClr val="dk1"/>
          </a:solidFill>
          <a:latin typeface="+mn-lt"/>
          <a:ea typeface="+mn-ea"/>
          <a:cs typeface="+mn-cs"/>
        </a:defRPr>
      </a:pPr>
      <a:endParaRPr lang="en-US"/>
    </a:p>
  </c:txPr>
  <c:printSettings>
    <c:headerFooter/>
    <c:pageMargins b="0.75" l="0.7" r="0.7" t="0.75" header="0.3" footer="0.3"/>
    <c:pageSetup paperSize="0" orientation="landscape" horizontalDpi="0" verticalDpi="0" copies="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dk1"/>
                </a:solidFill>
                <a:latin typeface="+mn-lt"/>
                <a:ea typeface="+mn-ea"/>
                <a:cs typeface="+mn-cs"/>
              </a:defRPr>
            </a:pPr>
            <a:r>
              <a:rPr lang="en-US" sz="1200"/>
              <a:t>Investment Summary</a:t>
            </a:r>
          </a:p>
          <a:p>
            <a:pPr>
              <a:defRPr sz="1200"/>
            </a:pPr>
            <a:r>
              <a:rPr lang="en-US" sz="1100" b="0"/>
              <a:t>(Thousands)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dk1"/>
              </a:solidFill>
              <a:latin typeface="+mn-lt"/>
              <a:ea typeface="+mn-ea"/>
              <a:cs typeface="+mn-cs"/>
            </a:defRPr>
          </a:pPr>
          <a:endParaRPr lang="en-US"/>
        </a:p>
      </c:txPr>
    </c:title>
    <c:autoTitleDeleted val="0"/>
    <c:plotArea>
      <c:layout>
        <c:manualLayout>
          <c:layoutTarget val="inner"/>
          <c:xMode val="edge"/>
          <c:yMode val="edge"/>
          <c:x val="0.33411016331291926"/>
          <c:y val="0.44988582677165356"/>
          <c:w val="0.35888378536016335"/>
          <c:h val="0.43066054243219604"/>
        </c:manualLayout>
      </c:layout>
      <c:pieChart>
        <c:varyColors val="1"/>
        <c:ser>
          <c:idx val="0"/>
          <c:order val="0"/>
          <c:dPt>
            <c:idx val="0"/>
            <c:bubble3D val="0"/>
            <c:spPr>
              <a:gradFill rotWithShape="1">
                <a:gsLst>
                  <a:gs pos="0">
                    <a:schemeClr val="accent6">
                      <a:shade val="58000"/>
                      <a:tint val="94000"/>
                      <a:satMod val="103000"/>
                      <a:lumMod val="102000"/>
                    </a:schemeClr>
                  </a:gs>
                  <a:gs pos="50000">
                    <a:schemeClr val="accent6">
                      <a:shade val="58000"/>
                      <a:shade val="100000"/>
                      <a:satMod val="110000"/>
                      <a:lumMod val="100000"/>
                    </a:schemeClr>
                  </a:gs>
                  <a:gs pos="100000">
                    <a:schemeClr val="accent6">
                      <a:shade val="58000"/>
                      <a:shade val="78000"/>
                      <a:satMod val="120000"/>
                      <a:lumMod val="99000"/>
                    </a:schemeClr>
                  </a:gs>
                </a:gsLst>
                <a:lin ang="5400000" scaled="0"/>
              </a:gradFill>
              <a:ln>
                <a:noFill/>
              </a:ln>
              <a:effectLst/>
            </c:spPr>
            <c:extLst>
              <c:ext xmlns:c16="http://schemas.microsoft.com/office/drawing/2014/chart" uri="{C3380CC4-5D6E-409C-BE32-E72D297353CC}">
                <c16:uniqueId val="{00000001-0CF6-4971-9F4B-96B2174D25C6}"/>
              </c:ext>
            </c:extLst>
          </c:dPt>
          <c:dPt>
            <c:idx val="1"/>
            <c:bubble3D val="0"/>
            <c:spPr>
              <a:gradFill rotWithShape="1">
                <a:gsLst>
                  <a:gs pos="0">
                    <a:schemeClr val="accent6">
                      <a:shade val="86000"/>
                      <a:tint val="94000"/>
                      <a:satMod val="103000"/>
                      <a:lumMod val="102000"/>
                    </a:schemeClr>
                  </a:gs>
                  <a:gs pos="50000">
                    <a:schemeClr val="accent6">
                      <a:shade val="86000"/>
                      <a:shade val="100000"/>
                      <a:satMod val="110000"/>
                      <a:lumMod val="100000"/>
                    </a:schemeClr>
                  </a:gs>
                  <a:gs pos="100000">
                    <a:schemeClr val="accent6">
                      <a:shade val="86000"/>
                      <a:shade val="78000"/>
                      <a:satMod val="120000"/>
                      <a:lumMod val="99000"/>
                    </a:schemeClr>
                  </a:gs>
                </a:gsLst>
                <a:lin ang="5400000" scaled="0"/>
              </a:gradFill>
              <a:ln>
                <a:noFill/>
              </a:ln>
              <a:effectLst/>
            </c:spPr>
            <c:extLst>
              <c:ext xmlns:c16="http://schemas.microsoft.com/office/drawing/2014/chart" uri="{C3380CC4-5D6E-409C-BE32-E72D297353CC}">
                <c16:uniqueId val="{00000003-0CF6-4971-9F4B-96B2174D25C6}"/>
              </c:ext>
            </c:extLst>
          </c:dPt>
          <c:dPt>
            <c:idx val="2"/>
            <c:bubble3D val="0"/>
            <c:spPr>
              <a:gradFill rotWithShape="1">
                <a:gsLst>
                  <a:gs pos="0">
                    <a:schemeClr val="accent6">
                      <a:tint val="86000"/>
                      <a:tint val="94000"/>
                      <a:satMod val="103000"/>
                      <a:lumMod val="102000"/>
                    </a:schemeClr>
                  </a:gs>
                  <a:gs pos="50000">
                    <a:schemeClr val="accent6">
                      <a:tint val="86000"/>
                      <a:shade val="100000"/>
                      <a:satMod val="110000"/>
                      <a:lumMod val="100000"/>
                    </a:schemeClr>
                  </a:gs>
                  <a:gs pos="100000">
                    <a:schemeClr val="accent6">
                      <a:tint val="86000"/>
                      <a:shade val="78000"/>
                      <a:satMod val="120000"/>
                      <a:lumMod val="99000"/>
                    </a:schemeClr>
                  </a:gs>
                </a:gsLst>
                <a:lin ang="5400000" scaled="0"/>
              </a:gradFill>
              <a:ln>
                <a:noFill/>
              </a:ln>
              <a:effectLst/>
            </c:spPr>
            <c:extLst>
              <c:ext xmlns:c16="http://schemas.microsoft.com/office/drawing/2014/chart" uri="{C3380CC4-5D6E-409C-BE32-E72D297353CC}">
                <c16:uniqueId val="{00000005-0CF6-4971-9F4B-96B2174D25C6}"/>
              </c:ext>
            </c:extLst>
          </c:dPt>
          <c:dPt>
            <c:idx val="3"/>
            <c:bubble3D val="0"/>
            <c:spPr>
              <a:gradFill rotWithShape="1">
                <a:gsLst>
                  <a:gs pos="0">
                    <a:schemeClr val="accent6">
                      <a:tint val="58000"/>
                      <a:tint val="94000"/>
                      <a:satMod val="103000"/>
                      <a:lumMod val="102000"/>
                    </a:schemeClr>
                  </a:gs>
                  <a:gs pos="50000">
                    <a:schemeClr val="accent6">
                      <a:tint val="58000"/>
                      <a:shade val="100000"/>
                      <a:satMod val="110000"/>
                      <a:lumMod val="100000"/>
                    </a:schemeClr>
                  </a:gs>
                  <a:gs pos="100000">
                    <a:schemeClr val="accent6">
                      <a:tint val="58000"/>
                      <a:shade val="78000"/>
                      <a:satMod val="120000"/>
                      <a:lumMod val="99000"/>
                    </a:schemeClr>
                  </a:gs>
                </a:gsLst>
                <a:lin ang="5400000" scaled="0"/>
              </a:gradFill>
              <a:ln>
                <a:noFill/>
              </a:ln>
              <a:effectLst/>
            </c:spPr>
            <c:extLst>
              <c:ext xmlns:c16="http://schemas.microsoft.com/office/drawing/2014/chart" uri="{C3380CC4-5D6E-409C-BE32-E72D297353CC}">
                <c16:uniqueId val="{00000007-0CF6-4971-9F4B-96B2174D25C6}"/>
              </c:ext>
            </c:extLst>
          </c:dPt>
          <c:dPt>
            <c:idx val="4"/>
            <c:bubble3D val="0"/>
            <c:spPr>
              <a:gradFill rotWithShape="1">
                <a:gsLst>
                  <a:gs pos="0">
                    <a:schemeClr val="accent6">
                      <a:tint val="30000"/>
                      <a:tint val="94000"/>
                      <a:satMod val="103000"/>
                      <a:lumMod val="102000"/>
                    </a:schemeClr>
                  </a:gs>
                  <a:gs pos="50000">
                    <a:schemeClr val="accent6">
                      <a:tint val="30000"/>
                      <a:shade val="100000"/>
                      <a:satMod val="110000"/>
                      <a:lumMod val="100000"/>
                    </a:schemeClr>
                  </a:gs>
                  <a:gs pos="100000">
                    <a:schemeClr val="accent6">
                      <a:tint val="30000"/>
                      <a:shade val="78000"/>
                      <a:satMod val="120000"/>
                      <a:lumMod val="99000"/>
                    </a:schemeClr>
                  </a:gs>
                </a:gsLst>
                <a:lin ang="5400000" scaled="0"/>
              </a:gradFill>
              <a:ln>
                <a:noFill/>
              </a:ln>
              <a:effectLst/>
            </c:spPr>
            <c:extLst>
              <c:ext xmlns:c16="http://schemas.microsoft.com/office/drawing/2014/chart" uri="{C3380CC4-5D6E-409C-BE32-E72D297353CC}">
                <c16:uniqueId val="{00000009-0CF6-4971-9F4B-96B2174D25C6}"/>
              </c:ext>
            </c:extLst>
          </c:dPt>
          <c:dLbls>
            <c:spPr>
              <a:solidFill>
                <a:srgbClr val="FFFFFF">
                  <a:alpha val="50196"/>
                </a:srgbClr>
              </a:solidFill>
              <a:ln>
                <a:noFill/>
              </a:ln>
              <a:effectLst/>
            </c:spPr>
            <c:txPr>
              <a:bodyPr rot="0" spcFirstLastPara="1" vertOverflow="ellipsis" vert="horz" wrap="square" anchor="ctr" anchorCtr="1"/>
              <a:lstStyle/>
              <a:p>
                <a:pPr>
                  <a:defRPr sz="800" b="0" i="0" u="none" strike="noStrike" kern="1200" baseline="0">
                    <a:solidFill>
                      <a:schemeClr val="dk1"/>
                    </a:solidFill>
                    <a:latin typeface="+mn-lt"/>
                    <a:ea typeface="+mn-ea"/>
                    <a:cs typeface="+mn-cs"/>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'Rpt Cntnt'!$F$18:$F$21</c:f>
              <c:strCache>
                <c:ptCount val="4"/>
                <c:pt idx="0">
                  <c:v>Vendor Costs</c:v>
                </c:pt>
                <c:pt idx="1">
                  <c:v>Internal Costs</c:v>
                </c:pt>
                <c:pt idx="2">
                  <c:v>Internal Labor</c:v>
                </c:pt>
                <c:pt idx="3">
                  <c:v>3rd Party Services</c:v>
                </c:pt>
              </c:strCache>
            </c:strRef>
          </c:cat>
          <c:val>
            <c:numRef>
              <c:f>'Rpt Cntnt'!$G$18:$G$21</c:f>
              <c:numCache>
                <c:formatCode>"$"#,##0</c:formatCode>
                <c:ptCount val="4"/>
                <c:pt idx="0">
                  <c:v>275.88</c:v>
                </c:pt>
                <c:pt idx="1">
                  <c:v>45.964800000000004</c:v>
                </c:pt>
                <c:pt idx="2">
                  <c:v>178.10599999999999</c:v>
                </c:pt>
                <c:pt idx="3">
                  <c:v>46.512</c:v>
                </c:pt>
              </c:numCache>
            </c:numRef>
          </c:val>
          <c:extLst>
            <c:ext xmlns:c16="http://schemas.microsoft.com/office/drawing/2014/chart" uri="{C3380CC4-5D6E-409C-BE32-E72D297353CC}">
              <c16:uniqueId val="{0000000A-0CF6-4971-9F4B-96B2174D25C6}"/>
            </c:ext>
          </c:extLst>
        </c:ser>
        <c:dLbls>
          <c:showLegendKey val="0"/>
          <c:showVal val="0"/>
          <c:showCatName val="1"/>
          <c:showSerName val="0"/>
          <c:showPercent val="1"/>
          <c:showBubbleSize val="0"/>
          <c:showLeaderLines val="0"/>
        </c:dLbls>
        <c:firstSliceAng val="0"/>
      </c:pieChart>
      <c:spPr>
        <a:noFill/>
        <a:ln>
          <a:noFill/>
        </a:ln>
        <a:effectLst/>
      </c:spPr>
    </c:plotArea>
    <c:plotVisOnly val="0"/>
    <c:dispBlanksAs val="gap"/>
    <c:showDLblsOverMax val="0"/>
  </c:chart>
  <c:spPr>
    <a:solidFill>
      <a:schemeClr val="accent5">
        <a:lumMod val="20000"/>
        <a:lumOff val="80000"/>
      </a:schemeClr>
    </a:solidFill>
    <a:ln w="6350" cap="flat" cmpd="sng" algn="in">
      <a:solidFill>
        <a:schemeClr val="accent5"/>
      </a:solidFill>
      <a:prstDash val="solid"/>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7">
  <a:schemeClr val="accent4"/>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Costs!A1"/><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hyperlink" Target="#Benefits!A1"/><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hyperlink" Target="#ROI!A1"/><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4</xdr:col>
      <xdr:colOff>2828926</xdr:colOff>
      <xdr:row>16</xdr:row>
      <xdr:rowOff>9525</xdr:rowOff>
    </xdr:from>
    <xdr:to>
      <xdr:col>4</xdr:col>
      <xdr:colOff>4867276</xdr:colOff>
      <xdr:row>19</xdr:row>
      <xdr:rowOff>57150</xdr:rowOff>
    </xdr:to>
    <xdr:sp macro="" textlink="">
      <xdr:nvSpPr>
        <xdr:cNvPr id="2" name="St_NextEstim" title="Next:  Estimate ">
          <a:hlinkClick xmlns:r="http://schemas.openxmlformats.org/officeDocument/2006/relationships" r:id="rId1"/>
          <a:extLst>
            <a:ext uri="{FF2B5EF4-FFF2-40B4-BE49-F238E27FC236}">
              <a16:creationId xmlns:a16="http://schemas.microsoft.com/office/drawing/2014/main" id="{5492845E-0CAD-454F-8282-C8789F9E2063}"/>
            </a:ext>
          </a:extLst>
        </xdr:cNvPr>
        <xdr:cNvSpPr/>
      </xdr:nvSpPr>
      <xdr:spPr>
        <a:xfrm>
          <a:off x="7505701" y="6962775"/>
          <a:ext cx="2038350" cy="74295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1600"/>
            <a:t>Next:  Estimate</a:t>
          </a:r>
        </a:p>
        <a:p>
          <a:pPr algn="ctr"/>
          <a:r>
            <a:rPr lang="en-US" sz="1600"/>
            <a:t>Solution</a:t>
          </a:r>
          <a:r>
            <a:rPr lang="en-US" sz="1600" baseline="0"/>
            <a:t> Costs</a:t>
          </a:r>
          <a:endParaRPr lang="en-US" sz="1600"/>
        </a:p>
      </xdr:txBody>
    </xdr:sp>
    <xdr:clientData/>
  </xdr:twoCellAnchor>
  <xdr:twoCellAnchor>
    <xdr:from>
      <xdr:col>4</xdr:col>
      <xdr:colOff>2533650</xdr:colOff>
      <xdr:row>19</xdr:row>
      <xdr:rowOff>133350</xdr:rowOff>
    </xdr:from>
    <xdr:to>
      <xdr:col>5</xdr:col>
      <xdr:colOff>57150</xdr:colOff>
      <xdr:row>22</xdr:row>
      <xdr:rowOff>209550</xdr:rowOff>
    </xdr:to>
    <xdr:sp macro="" textlink="">
      <xdr:nvSpPr>
        <xdr:cNvPr id="3" name="TextBox 2">
          <a:extLst>
            <a:ext uri="{FF2B5EF4-FFF2-40B4-BE49-F238E27FC236}">
              <a16:creationId xmlns:a16="http://schemas.microsoft.com/office/drawing/2014/main" id="{00596AF2-85B4-48DF-8755-2D144AE4D124}"/>
            </a:ext>
          </a:extLst>
        </xdr:cNvPr>
        <xdr:cNvSpPr txBox="1"/>
      </xdr:nvSpPr>
      <xdr:spPr>
        <a:xfrm>
          <a:off x="7210425" y="7791450"/>
          <a:ext cx="2924175"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a:solidFill>
                <a:schemeClr val="accent5">
                  <a:lumMod val="75000"/>
                </a:schemeClr>
              </a:solidFill>
            </a:rPr>
            <a:t>Or use the tabs</a:t>
          </a:r>
          <a:r>
            <a:rPr lang="en-US" sz="1400" b="1" baseline="0">
              <a:solidFill>
                <a:schemeClr val="accent5">
                  <a:lumMod val="75000"/>
                </a:schemeClr>
              </a:solidFill>
            </a:rPr>
            <a:t> at the bottom of the page to navigate between pages</a:t>
          </a:r>
          <a:endParaRPr lang="en-US" sz="1400" b="1">
            <a:solidFill>
              <a:schemeClr val="accent5">
                <a:lumMod val="75000"/>
              </a:schemeClr>
            </a:solidFill>
          </a:endParaRPr>
        </a:p>
      </xdr:txBody>
    </xdr:sp>
    <xdr:clientData/>
  </xdr:twoCellAnchor>
  <xdr:twoCellAnchor editAs="oneCell">
    <xdr:from>
      <xdr:col>4</xdr:col>
      <xdr:colOff>3171826</xdr:colOff>
      <xdr:row>3</xdr:row>
      <xdr:rowOff>28575</xdr:rowOff>
    </xdr:from>
    <xdr:to>
      <xdr:col>4</xdr:col>
      <xdr:colOff>5104425</xdr:colOff>
      <xdr:row>4</xdr:row>
      <xdr:rowOff>87765</xdr:rowOff>
    </xdr:to>
    <xdr:pic>
      <xdr:nvPicPr>
        <xdr:cNvPr id="11" name="Picture 10">
          <a:extLst>
            <a:ext uri="{FF2B5EF4-FFF2-40B4-BE49-F238E27FC236}">
              <a16:creationId xmlns:a16="http://schemas.microsoft.com/office/drawing/2014/main" id="{9E473CD3-2610-4A2C-B4C4-B07FDCB714EF}"/>
            </a:ext>
          </a:extLst>
        </xdr:cNvPr>
        <xdr:cNvPicPr>
          <a:picLocks noChangeAspect="1"/>
        </xdr:cNvPicPr>
      </xdr:nvPicPr>
      <xdr:blipFill>
        <a:blip xmlns:r="http://schemas.openxmlformats.org/officeDocument/2006/relationships" r:embed="rId2"/>
        <a:stretch>
          <a:fillRect/>
        </a:stretch>
      </xdr:blipFill>
      <xdr:spPr>
        <a:xfrm>
          <a:off x="7848601" y="762000"/>
          <a:ext cx="1932599" cy="1554615"/>
        </a:xfrm>
        <a:prstGeom prst="rect">
          <a:avLst/>
        </a:prstGeom>
      </xdr:spPr>
    </xdr:pic>
    <xdr:clientData/>
  </xdr:twoCellAnchor>
  <xdr:twoCellAnchor editAs="oneCell">
    <xdr:from>
      <xdr:col>2</xdr:col>
      <xdr:colOff>638175</xdr:colOff>
      <xdr:row>3</xdr:row>
      <xdr:rowOff>66675</xdr:rowOff>
    </xdr:from>
    <xdr:to>
      <xdr:col>4</xdr:col>
      <xdr:colOff>4084270</xdr:colOff>
      <xdr:row>4</xdr:row>
      <xdr:rowOff>40513</xdr:rowOff>
    </xdr:to>
    <xdr:pic>
      <xdr:nvPicPr>
        <xdr:cNvPr id="7" name="Picture 6">
          <a:extLst>
            <a:ext uri="{FF2B5EF4-FFF2-40B4-BE49-F238E27FC236}">
              <a16:creationId xmlns:a16="http://schemas.microsoft.com/office/drawing/2014/main" id="{C4453129-77A8-4547-B377-E4FAFBAEED24}"/>
            </a:ext>
          </a:extLst>
        </xdr:cNvPr>
        <xdr:cNvPicPr>
          <a:picLocks noChangeAspect="1"/>
        </xdr:cNvPicPr>
      </xdr:nvPicPr>
      <xdr:blipFill>
        <a:blip xmlns:r="http://schemas.openxmlformats.org/officeDocument/2006/relationships" r:embed="rId3"/>
        <a:stretch>
          <a:fillRect/>
        </a:stretch>
      </xdr:blipFill>
      <xdr:spPr>
        <a:xfrm>
          <a:off x="1095375" y="428625"/>
          <a:ext cx="8218120" cy="1469263"/>
        </a:xfrm>
        <a:prstGeom prst="rect">
          <a:avLst/>
        </a:prstGeom>
      </xdr:spPr>
    </xdr:pic>
    <xdr:clientData/>
  </xdr:twoCellAnchor>
  <xdr:twoCellAnchor editAs="oneCell">
    <xdr:from>
      <xdr:col>4</xdr:col>
      <xdr:colOff>4257675</xdr:colOff>
      <xdr:row>3</xdr:row>
      <xdr:rowOff>276225</xdr:rowOff>
    </xdr:from>
    <xdr:to>
      <xdr:col>4</xdr:col>
      <xdr:colOff>5001451</xdr:colOff>
      <xdr:row>3</xdr:row>
      <xdr:rowOff>1020001</xdr:rowOff>
    </xdr:to>
    <xdr:pic>
      <xdr:nvPicPr>
        <xdr:cNvPr id="10" name="Picture 9">
          <a:extLst>
            <a:ext uri="{FF2B5EF4-FFF2-40B4-BE49-F238E27FC236}">
              <a16:creationId xmlns:a16="http://schemas.microsoft.com/office/drawing/2014/main" id="{8E2E3C4D-E200-44C8-B8C9-DE6BF82A6C3B}"/>
            </a:ext>
          </a:extLst>
        </xdr:cNvPr>
        <xdr:cNvPicPr>
          <a:picLocks noChangeAspect="1"/>
        </xdr:cNvPicPr>
      </xdr:nvPicPr>
      <xdr:blipFill>
        <a:blip xmlns:r="http://schemas.openxmlformats.org/officeDocument/2006/relationships" r:embed="rId4"/>
        <a:stretch>
          <a:fillRect/>
        </a:stretch>
      </xdr:blipFill>
      <xdr:spPr>
        <a:xfrm>
          <a:off x="8934450" y="1009650"/>
          <a:ext cx="743776" cy="743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236055</xdr:colOff>
      <xdr:row>4</xdr:row>
      <xdr:rowOff>116785</xdr:rowOff>
    </xdr:from>
    <xdr:to>
      <xdr:col>9</xdr:col>
      <xdr:colOff>407505</xdr:colOff>
      <xdr:row>11</xdr:row>
      <xdr:rowOff>9525</xdr:rowOff>
    </xdr:to>
    <xdr:graphicFrame macro="">
      <xdr:nvGraphicFramePr>
        <xdr:cNvPr id="2" name="wfmBenSumCh">
          <a:extLst>
            <a:ext uri="{FF2B5EF4-FFF2-40B4-BE49-F238E27FC236}">
              <a16:creationId xmlns:a16="http://schemas.microsoft.com/office/drawing/2014/main" id="{3094D85A-CF21-4245-8020-01EA133A01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142875</xdr:colOff>
      <xdr:row>1</xdr:row>
      <xdr:rowOff>85724</xdr:rowOff>
    </xdr:from>
    <xdr:to>
      <xdr:col>10</xdr:col>
      <xdr:colOff>295275</xdr:colOff>
      <xdr:row>2</xdr:row>
      <xdr:rowOff>390525</xdr:rowOff>
    </xdr:to>
    <xdr:sp macro="" textlink="">
      <xdr:nvSpPr>
        <xdr:cNvPr id="3" name="Co_NextEstim" title="Next:  Estimate ">
          <a:hlinkClick xmlns:r="http://schemas.openxmlformats.org/officeDocument/2006/relationships" r:id="rId2"/>
          <a:extLst>
            <a:ext uri="{FF2B5EF4-FFF2-40B4-BE49-F238E27FC236}">
              <a16:creationId xmlns:a16="http://schemas.microsoft.com/office/drawing/2014/main" id="{536101D3-A8FC-447A-A8DE-B5C1587402FA}"/>
            </a:ext>
          </a:extLst>
        </xdr:cNvPr>
        <xdr:cNvSpPr/>
      </xdr:nvSpPr>
      <xdr:spPr>
        <a:xfrm>
          <a:off x="7534275" y="95249"/>
          <a:ext cx="1876425" cy="666751"/>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1400"/>
            <a:t>Next:  Estimate</a:t>
          </a:r>
        </a:p>
        <a:p>
          <a:pPr algn="ctr"/>
          <a:r>
            <a:rPr lang="en-US" sz="1400"/>
            <a:t> Benefits</a:t>
          </a:r>
        </a:p>
      </xdr:txBody>
    </xdr:sp>
    <xdr:clientData/>
  </xdr:twoCellAnchor>
  <xdr:twoCellAnchor>
    <xdr:from>
      <xdr:col>10</xdr:col>
      <xdr:colOff>352425</xdr:colOff>
      <xdr:row>1</xdr:row>
      <xdr:rowOff>104775</xdr:rowOff>
    </xdr:from>
    <xdr:to>
      <xdr:col>12</xdr:col>
      <xdr:colOff>28575</xdr:colOff>
      <xdr:row>2</xdr:row>
      <xdr:rowOff>438150</xdr:rowOff>
    </xdr:to>
    <xdr:sp macro="" textlink="">
      <xdr:nvSpPr>
        <xdr:cNvPr id="4" name="TextBox 3">
          <a:extLst>
            <a:ext uri="{FF2B5EF4-FFF2-40B4-BE49-F238E27FC236}">
              <a16:creationId xmlns:a16="http://schemas.microsoft.com/office/drawing/2014/main" id="{BC1A22A9-945E-40B6-B5F6-989BDFA0FFED}"/>
            </a:ext>
          </a:extLst>
        </xdr:cNvPr>
        <xdr:cNvSpPr txBox="1"/>
      </xdr:nvSpPr>
      <xdr:spPr>
        <a:xfrm>
          <a:off x="9467850" y="114300"/>
          <a:ext cx="1638300"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solidFill>
                <a:schemeClr val="accent5">
                  <a:lumMod val="75000"/>
                </a:schemeClr>
              </a:solidFill>
            </a:rPr>
            <a:t>Or use the tabs</a:t>
          </a:r>
          <a:r>
            <a:rPr lang="en-US" sz="1100" b="1" baseline="0">
              <a:solidFill>
                <a:schemeClr val="accent5">
                  <a:lumMod val="75000"/>
                </a:schemeClr>
              </a:solidFill>
            </a:rPr>
            <a:t> at the bottom of the page to navigate between pages</a:t>
          </a:r>
          <a:endParaRPr lang="en-US" sz="1100" b="1">
            <a:solidFill>
              <a:schemeClr val="accent5">
                <a:lumMod val="7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161926</xdr:colOff>
      <xdr:row>4</xdr:row>
      <xdr:rowOff>171450</xdr:rowOff>
    </xdr:from>
    <xdr:to>
      <xdr:col>9</xdr:col>
      <xdr:colOff>533401</xdr:colOff>
      <xdr:row>12</xdr:row>
      <xdr:rowOff>9525</xdr:rowOff>
    </xdr:to>
    <xdr:graphicFrame macro="">
      <xdr:nvGraphicFramePr>
        <xdr:cNvPr id="3" name="wfmBenSumCh">
          <a:extLst>
            <a:ext uri="{FF2B5EF4-FFF2-40B4-BE49-F238E27FC236}">
              <a16:creationId xmlns:a16="http://schemas.microsoft.com/office/drawing/2014/main" id="{0D314AA7-EFE1-4843-A018-F4947CC5EE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161925</xdr:colOff>
      <xdr:row>1</xdr:row>
      <xdr:rowOff>200025</xdr:rowOff>
    </xdr:from>
    <xdr:to>
      <xdr:col>10</xdr:col>
      <xdr:colOff>504825</xdr:colOff>
      <xdr:row>2</xdr:row>
      <xdr:rowOff>438150</xdr:rowOff>
    </xdr:to>
    <xdr:sp macro="" textlink="">
      <xdr:nvSpPr>
        <xdr:cNvPr id="4" name="Be_NextViewR" title="Next:  View Results (ROI)">
          <a:hlinkClick xmlns:r="http://schemas.openxmlformats.org/officeDocument/2006/relationships" r:id="rId2"/>
          <a:extLst>
            <a:ext uri="{FF2B5EF4-FFF2-40B4-BE49-F238E27FC236}">
              <a16:creationId xmlns:a16="http://schemas.microsoft.com/office/drawing/2014/main" id="{BD948761-A455-4D25-B57E-E6476B2E057A}"/>
            </a:ext>
          </a:extLst>
        </xdr:cNvPr>
        <xdr:cNvSpPr/>
      </xdr:nvSpPr>
      <xdr:spPr>
        <a:xfrm>
          <a:off x="7686675" y="200025"/>
          <a:ext cx="2266950" cy="600075"/>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1400"/>
            <a:t>Next:  View Results (ROI)</a:t>
          </a:r>
        </a:p>
      </xdr:txBody>
    </xdr:sp>
    <xdr:clientData/>
  </xdr:twoCellAnchor>
  <xdr:twoCellAnchor>
    <xdr:from>
      <xdr:col>10</xdr:col>
      <xdr:colOff>561975</xdr:colOff>
      <xdr:row>1</xdr:row>
      <xdr:rowOff>276226</xdr:rowOff>
    </xdr:from>
    <xdr:to>
      <xdr:col>14</xdr:col>
      <xdr:colOff>19050</xdr:colOff>
      <xdr:row>2</xdr:row>
      <xdr:rowOff>514350</xdr:rowOff>
    </xdr:to>
    <xdr:sp macro="" textlink="">
      <xdr:nvSpPr>
        <xdr:cNvPr id="5" name="TextBox 4">
          <a:extLst>
            <a:ext uri="{FF2B5EF4-FFF2-40B4-BE49-F238E27FC236}">
              <a16:creationId xmlns:a16="http://schemas.microsoft.com/office/drawing/2014/main" id="{716822A2-1259-4951-974A-A005200B558E}"/>
            </a:ext>
          </a:extLst>
        </xdr:cNvPr>
        <xdr:cNvSpPr txBox="1"/>
      </xdr:nvSpPr>
      <xdr:spPr>
        <a:xfrm>
          <a:off x="8372475" y="276226"/>
          <a:ext cx="24669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solidFill>
                <a:schemeClr val="accent5">
                  <a:lumMod val="75000"/>
                </a:schemeClr>
              </a:solidFill>
            </a:rPr>
            <a:t>Or use the tabs</a:t>
          </a:r>
          <a:r>
            <a:rPr lang="en-US" sz="1100" b="1" baseline="0">
              <a:solidFill>
                <a:schemeClr val="accent5">
                  <a:lumMod val="75000"/>
                </a:schemeClr>
              </a:solidFill>
            </a:rPr>
            <a:t> at the bottom of the page to navigate between pages</a:t>
          </a:r>
          <a:endParaRPr lang="en-US" sz="1100" b="1">
            <a:solidFill>
              <a:schemeClr val="accent5">
                <a:lumMod val="75000"/>
              </a:schemeClr>
            </a:solidFill>
          </a:endParaRPr>
        </a:p>
      </xdr:txBody>
    </xdr:sp>
    <xdr:clientData/>
  </xdr:twoCellAnchor>
  <xdr:twoCellAnchor editAs="oneCell">
    <xdr:from>
      <xdr:col>8</xdr:col>
      <xdr:colOff>133350</xdr:colOff>
      <xdr:row>13</xdr:row>
      <xdr:rowOff>152399</xdr:rowOff>
    </xdr:from>
    <xdr:to>
      <xdr:col>12</xdr:col>
      <xdr:colOff>371475</xdr:colOff>
      <xdr:row>27</xdr:row>
      <xdr:rowOff>190499</xdr:rowOff>
    </xdr:to>
    <xdr:graphicFrame macro="">
      <xdr:nvGraphicFramePr>
        <xdr:cNvPr id="8" name="wfmBenSumCh">
          <a:extLst>
            <a:ext uri="{FF2B5EF4-FFF2-40B4-BE49-F238E27FC236}">
              <a16:creationId xmlns:a16="http://schemas.microsoft.com/office/drawing/2014/main" id="{4269EF29-958A-4C8F-82B2-61A35E1CF9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editAs="oneCell">
    <xdr:from>
      <xdr:col>6</xdr:col>
      <xdr:colOff>219076</xdr:colOff>
      <xdr:row>8</xdr:row>
      <xdr:rowOff>180975</xdr:rowOff>
    </xdr:from>
    <xdr:to>
      <xdr:col>9</xdr:col>
      <xdr:colOff>952500</xdr:colOff>
      <xdr:row>24</xdr:row>
      <xdr:rowOff>133350</xdr:rowOff>
    </xdr:to>
    <xdr:graphicFrame macro="">
      <xdr:nvGraphicFramePr>
        <xdr:cNvPr id="2" name="ChCostsVBens">
          <a:extLst>
            <a:ext uri="{FF2B5EF4-FFF2-40B4-BE49-F238E27FC236}">
              <a16:creationId xmlns:a16="http://schemas.microsoft.com/office/drawing/2014/main" id="{31E9D715-98ED-4600-9A9F-D7E7AE1DE1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4</xdr:col>
      <xdr:colOff>962025</xdr:colOff>
      <xdr:row>29</xdr:row>
      <xdr:rowOff>142875</xdr:rowOff>
    </xdr:from>
    <xdr:to>
      <xdr:col>8</xdr:col>
      <xdr:colOff>542925</xdr:colOff>
      <xdr:row>30</xdr:row>
      <xdr:rowOff>2876550</xdr:rowOff>
    </xdr:to>
    <xdr:graphicFrame macro="">
      <xdr:nvGraphicFramePr>
        <xdr:cNvPr id="3" name="chBenSum">
          <a:extLst>
            <a:ext uri="{FF2B5EF4-FFF2-40B4-BE49-F238E27FC236}">
              <a16:creationId xmlns:a16="http://schemas.microsoft.com/office/drawing/2014/main" id="{1DC0CA63-BFDA-464E-8614-1739B8ECD5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2</xdr:col>
      <xdr:colOff>9524</xdr:colOff>
      <xdr:row>29</xdr:row>
      <xdr:rowOff>123825</xdr:rowOff>
    </xdr:from>
    <xdr:to>
      <xdr:col>4</xdr:col>
      <xdr:colOff>409575</xdr:colOff>
      <xdr:row>30</xdr:row>
      <xdr:rowOff>2867025</xdr:rowOff>
    </xdr:to>
    <xdr:graphicFrame macro="">
      <xdr:nvGraphicFramePr>
        <xdr:cNvPr id="5" name="chCosts">
          <a:extLst>
            <a:ext uri="{FF2B5EF4-FFF2-40B4-BE49-F238E27FC236}">
              <a16:creationId xmlns:a16="http://schemas.microsoft.com/office/drawing/2014/main" id="{76EBD574-89B6-45BA-9962-2E3AA6B28B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2</xdr:col>
      <xdr:colOff>190501</xdr:colOff>
      <xdr:row>39</xdr:row>
      <xdr:rowOff>123824</xdr:rowOff>
    </xdr:from>
    <xdr:to>
      <xdr:col>7</xdr:col>
      <xdr:colOff>9526</xdr:colOff>
      <xdr:row>39</xdr:row>
      <xdr:rowOff>3714750</xdr:rowOff>
    </xdr:to>
    <xdr:graphicFrame macro="">
      <xdr:nvGraphicFramePr>
        <xdr:cNvPr id="10" name="rpt_chCostsVBenByYr">
          <a:extLst>
            <a:ext uri="{FF2B5EF4-FFF2-40B4-BE49-F238E27FC236}">
              <a16:creationId xmlns:a16="http://schemas.microsoft.com/office/drawing/2014/main" id="{63FD06BD-DA6D-4659-A65B-F293C1D5C3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533400</xdr:colOff>
      <xdr:row>4</xdr:row>
      <xdr:rowOff>28576</xdr:rowOff>
    </xdr:from>
    <xdr:to>
      <xdr:col>3</xdr:col>
      <xdr:colOff>552450</xdr:colOff>
      <xdr:row>13</xdr:row>
      <xdr:rowOff>142876</xdr:rowOff>
    </xdr:to>
    <xdr:graphicFrame macro="">
      <xdr:nvGraphicFramePr>
        <xdr:cNvPr id="2" name="rpt_chCostVBen">
          <a:extLst>
            <a:ext uri="{FF2B5EF4-FFF2-40B4-BE49-F238E27FC236}">
              <a16:creationId xmlns:a16="http://schemas.microsoft.com/office/drawing/2014/main" id="{00983D65-FC66-483A-83E6-E825D1725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xdr:col>
      <xdr:colOff>504826</xdr:colOff>
      <xdr:row>16</xdr:row>
      <xdr:rowOff>38100</xdr:rowOff>
    </xdr:from>
    <xdr:to>
      <xdr:col>3</xdr:col>
      <xdr:colOff>523876</xdr:colOff>
      <xdr:row>27</xdr:row>
      <xdr:rowOff>161925</xdr:rowOff>
    </xdr:to>
    <xdr:graphicFrame macro="">
      <xdr:nvGraphicFramePr>
        <xdr:cNvPr id="4" name="rpt_CostPie">
          <a:extLst>
            <a:ext uri="{FF2B5EF4-FFF2-40B4-BE49-F238E27FC236}">
              <a16:creationId xmlns:a16="http://schemas.microsoft.com/office/drawing/2014/main" id="{3BAA5CCE-56F6-4BC6-9BC2-EB1B5DF33A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1</xdr:col>
      <xdr:colOff>485775</xdr:colOff>
      <xdr:row>30</xdr:row>
      <xdr:rowOff>28575</xdr:rowOff>
    </xdr:from>
    <xdr:to>
      <xdr:col>3</xdr:col>
      <xdr:colOff>504825</xdr:colOff>
      <xdr:row>41</xdr:row>
      <xdr:rowOff>152400</xdr:rowOff>
    </xdr:to>
    <xdr:graphicFrame macro="">
      <xdr:nvGraphicFramePr>
        <xdr:cNvPr id="5" name="rpt_BenPie">
          <a:extLst>
            <a:ext uri="{FF2B5EF4-FFF2-40B4-BE49-F238E27FC236}">
              <a16:creationId xmlns:a16="http://schemas.microsoft.com/office/drawing/2014/main" id="{57E62744-AAEE-4295-88A6-46EC1F28DE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wsDr>
</file>

<file path=xl/theme/theme1.xml><?xml version="1.0" encoding="utf-8"?>
<a:theme xmlns:a="http://schemas.openxmlformats.org/drawingml/2006/main" name="Crop">
  <a:themeElements>
    <a:clrScheme name="Crop">
      <a:dk1>
        <a:sysClr val="windowText" lastClr="000000"/>
      </a:dk1>
      <a:lt1>
        <a:sysClr val="window" lastClr="FFFFFF"/>
      </a:lt1>
      <a:dk2>
        <a:srgbClr val="191B0E"/>
      </a:dk2>
      <a:lt2>
        <a:srgbClr val="EFEDE3"/>
      </a:lt2>
      <a:accent1>
        <a:srgbClr val="8C8D86"/>
      </a:accent1>
      <a:accent2>
        <a:srgbClr val="E6C069"/>
      </a:accent2>
      <a:accent3>
        <a:srgbClr val="897B61"/>
      </a:accent3>
      <a:accent4>
        <a:srgbClr val="8DAB8E"/>
      </a:accent4>
      <a:accent5>
        <a:srgbClr val="77A2BB"/>
      </a:accent5>
      <a:accent6>
        <a:srgbClr val="E28394"/>
      </a:accent6>
      <a:hlink>
        <a:srgbClr val="77A2BB"/>
      </a:hlink>
      <a:folHlink>
        <a:srgbClr val="957A99"/>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rop">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in">
          <a:solidFill>
            <a:schemeClr val="phClr"/>
          </a:solidFill>
          <a:prstDash val="solid"/>
        </a:ln>
        <a:ln w="34925" cap="flat" cmpd="sng" algn="in">
          <a:solidFill>
            <a:schemeClr val="phClr"/>
          </a:solidFill>
          <a:prstDash val="solid"/>
        </a:ln>
        <a:ln w="19050" cap="flat" cmpd="sng" algn="in">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35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Crop" id="{EC9488ED-E761-4D60-9AC4-764D1FE2C171}" vid="{CE19780C-D67D-4C13-9DE9-A52BC3BA51B4}"/>
    </a:ext>
  </a:extLst>
</a:theme>
</file>

<file path=xl/theme/themeOverride1.xml><?xml version="1.0" encoding="utf-8"?>
<a:themeOverride xmlns:a="http://schemas.openxmlformats.org/drawingml/2006/main">
  <a:clrScheme name="FlexeraSoftware">
    <a:dk1>
      <a:sysClr val="windowText" lastClr="000000"/>
    </a:dk1>
    <a:lt1>
      <a:srgbClr val="FFFFFF"/>
    </a:lt1>
    <a:dk2>
      <a:srgbClr val="0079C1"/>
    </a:dk2>
    <a:lt2>
      <a:srgbClr val="C9EAFF"/>
    </a:lt2>
    <a:accent1>
      <a:srgbClr val="DEB408"/>
    </a:accent1>
    <a:accent2>
      <a:srgbClr val="005295"/>
    </a:accent2>
    <a:accent3>
      <a:srgbClr val="439639"/>
    </a:accent3>
    <a:accent4>
      <a:srgbClr val="791D7E"/>
    </a:accent4>
    <a:accent5>
      <a:srgbClr val="E0C398"/>
    </a:accent5>
    <a:accent6>
      <a:srgbClr val="9EA1A4"/>
    </a:accent6>
    <a:hlink>
      <a:srgbClr val="005295"/>
    </a:hlink>
    <a:folHlink>
      <a:srgbClr val="791D7E"/>
    </a:folHlink>
  </a:clrScheme>
  <a:fontScheme name="Flexera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4B13999-0BAB-4B65-8661-7CB1BBB14C37}">
  <we:reference id="wa104380955" version="2.2.1.0" store="en-US" storeType="OMEX"/>
  <we:alternateReferences>
    <we:reference id="wa104380955" version="2.2.1.0" store="wa104380955" storeType="OMEX"/>
  </we:alternateReferences>
  <we:properties>
    <we:property name="Office.AutoShowTaskpaneWithDocument" value="true"/>
    <we:property name="AnalysisPlace_ItemPrefix" value="&quot;rpt_&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nalysisplace.com/Document-Automatio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analysisplace.com/Document-Automation" TargetMode="External"/><Relationship Id="rId2" Type="http://schemas.openxmlformats.org/officeDocument/2006/relationships/hyperlink" Target="https://analysisplace.com/privacy" TargetMode="External"/><Relationship Id="rId1" Type="http://schemas.openxmlformats.org/officeDocument/2006/relationships/hyperlink" Target="https://analysisplace.com/term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8"/>
  <sheetViews>
    <sheetView showGridLines="0" tabSelected="1" workbookViewId="0">
      <selection activeCell="A2" sqref="A2"/>
    </sheetView>
  </sheetViews>
  <sheetFormatPr defaultColWidth="8.88671875" defaultRowHeight="15" x14ac:dyDescent="0.2"/>
  <cols>
    <col min="1" max="2" width="3.109375" customWidth="1"/>
    <col min="3" max="3" width="33.6640625" customWidth="1"/>
    <col min="4" max="4" width="22" customWidth="1"/>
    <col min="5" max="5" width="71" customWidth="1"/>
    <col min="6" max="6" width="8.88671875" customWidth="1"/>
    <col min="7" max="7" width="2.109375" customWidth="1"/>
    <col min="8" max="8" width="0.109375" customWidth="1"/>
    <col min="9" max="9" width="0.77734375" customWidth="1"/>
    <col min="10" max="10" width="8.88671875" customWidth="1"/>
  </cols>
  <sheetData>
    <row r="1" spans="1:10" ht="0.75" customHeight="1" x14ac:dyDescent="0.2">
      <c r="A1" s="123"/>
      <c r="B1" s="123"/>
      <c r="C1" s="123"/>
      <c r="D1" s="123"/>
      <c r="E1" s="123"/>
      <c r="F1" s="123"/>
      <c r="G1" s="123"/>
      <c r="H1" s="123"/>
      <c r="I1" s="26" t="s">
        <v>0</v>
      </c>
    </row>
    <row r="2" spans="1:10" ht="27.75" x14ac:dyDescent="0.4">
      <c r="A2" s="27" t="s">
        <v>1</v>
      </c>
      <c r="B2" s="123"/>
      <c r="C2" s="123"/>
      <c r="D2" s="123"/>
      <c r="E2" s="123"/>
      <c r="F2" s="123"/>
      <c r="G2" s="123"/>
      <c r="H2" s="123"/>
      <c r="I2" s="26"/>
    </row>
    <row r="3" spans="1:10" ht="27.75" x14ac:dyDescent="0.4">
      <c r="A3" s="27"/>
      <c r="B3" s="123" t="s">
        <v>2</v>
      </c>
      <c r="C3" s="123"/>
      <c r="D3" s="123"/>
      <c r="E3" s="123"/>
      <c r="F3" s="123"/>
      <c r="G3" s="123"/>
      <c r="H3" s="123"/>
      <c r="I3" s="26"/>
    </row>
    <row r="4" spans="1:10" ht="117.75" customHeight="1" x14ac:dyDescent="0.2">
      <c r="A4" s="123"/>
      <c r="B4" s="123"/>
      <c r="C4" s="123"/>
      <c r="D4" s="123"/>
      <c r="E4" s="123"/>
      <c r="F4" s="123"/>
      <c r="G4" s="123"/>
      <c r="H4" s="123"/>
      <c r="I4" s="26"/>
    </row>
    <row r="5" spans="1:10" ht="20.25" thickBot="1" x14ac:dyDescent="0.35">
      <c r="A5" s="3" t="s">
        <v>3</v>
      </c>
      <c r="B5" s="3"/>
      <c r="C5" s="3"/>
      <c r="D5" s="3"/>
      <c r="E5" s="3"/>
      <c r="F5" s="3"/>
      <c r="G5" s="123"/>
      <c r="H5" s="123"/>
      <c r="I5" s="26"/>
    </row>
    <row r="6" spans="1:10" ht="123.75" customHeight="1" thickTop="1" x14ac:dyDescent="0.2">
      <c r="A6" s="123"/>
      <c r="B6" s="128" t="s">
        <v>4</v>
      </c>
      <c r="C6" s="129"/>
      <c r="D6" s="129"/>
      <c r="E6" s="129"/>
      <c r="F6" s="129"/>
      <c r="G6" s="123"/>
      <c r="H6" s="123"/>
      <c r="I6" s="26"/>
      <c r="J6" s="117"/>
    </row>
    <row r="7" spans="1:10" x14ac:dyDescent="0.2">
      <c r="A7" s="123"/>
      <c r="B7" s="131" t="s">
        <v>5</v>
      </c>
      <c r="C7" s="131"/>
      <c r="D7" s="131"/>
      <c r="E7" s="131"/>
      <c r="F7" s="131"/>
      <c r="G7" s="123"/>
      <c r="H7" s="123"/>
      <c r="I7" s="26"/>
      <c r="J7" s="117"/>
    </row>
    <row r="8" spans="1:10" ht="26.25" customHeight="1" x14ac:dyDescent="0.2">
      <c r="A8" s="123"/>
      <c r="B8" s="128" t="s">
        <v>6</v>
      </c>
      <c r="C8" s="129"/>
      <c r="D8" s="129"/>
      <c r="E8" s="129"/>
      <c r="F8" s="129"/>
      <c r="G8" s="123"/>
      <c r="H8" s="123"/>
      <c r="I8" s="26"/>
    </row>
    <row r="9" spans="1:10" ht="20.25" thickBot="1" x14ac:dyDescent="0.35">
      <c r="A9" s="3" t="s">
        <v>7</v>
      </c>
      <c r="B9" s="3"/>
      <c r="C9" s="3"/>
      <c r="D9" s="3"/>
      <c r="E9" s="3"/>
      <c r="F9" s="3"/>
      <c r="G9" s="123"/>
      <c r="H9" s="123"/>
      <c r="I9" s="26"/>
    </row>
    <row r="10" spans="1:10" ht="11.25" customHeight="1" thickTop="1" x14ac:dyDescent="0.2">
      <c r="A10" s="123"/>
      <c r="B10" s="123"/>
      <c r="C10" s="123"/>
      <c r="D10" s="123"/>
      <c r="E10" s="123"/>
      <c r="F10" s="123"/>
      <c r="G10" s="123"/>
      <c r="H10" s="123"/>
      <c r="I10" s="26"/>
    </row>
    <row r="11" spans="1:10" ht="143.25" customHeight="1" x14ac:dyDescent="0.2">
      <c r="A11" s="123"/>
      <c r="B11" s="128" t="s">
        <v>8</v>
      </c>
      <c r="C11" s="129"/>
      <c r="D11" s="129"/>
      <c r="E11" s="129"/>
      <c r="F11" s="129"/>
      <c r="G11" s="123"/>
      <c r="H11" s="123"/>
      <c r="I11" s="26"/>
    </row>
    <row r="12" spans="1:10" ht="11.25" customHeight="1" x14ac:dyDescent="0.2">
      <c r="A12" s="123"/>
      <c r="B12" s="123"/>
      <c r="C12" s="123"/>
      <c r="D12" s="123"/>
      <c r="E12" s="123"/>
      <c r="F12" s="123"/>
      <c r="G12" s="123"/>
      <c r="H12" s="123"/>
      <c r="I12" s="26"/>
    </row>
    <row r="13" spans="1:10" ht="20.25" thickBot="1" x14ac:dyDescent="0.35">
      <c r="A13" s="3" t="s">
        <v>9</v>
      </c>
      <c r="B13" s="3"/>
      <c r="C13" s="3"/>
      <c r="D13" s="3"/>
      <c r="E13" s="3"/>
      <c r="F13" s="3"/>
      <c r="G13" s="123"/>
      <c r="H13" s="123"/>
      <c r="I13" s="26"/>
    </row>
    <row r="14" spans="1:10" ht="15.75" thickTop="1" x14ac:dyDescent="0.2">
      <c r="A14" s="123"/>
      <c r="B14" s="130" t="s">
        <v>10</v>
      </c>
      <c r="C14" s="130"/>
      <c r="D14" s="130"/>
      <c r="E14" s="130"/>
      <c r="F14" s="123"/>
      <c r="G14" s="123"/>
      <c r="H14" s="123"/>
      <c r="I14" s="26"/>
    </row>
    <row r="15" spans="1:10" ht="16.5" thickBot="1" x14ac:dyDescent="0.3">
      <c r="A15" s="123"/>
      <c r="B15" s="28" t="s">
        <v>11</v>
      </c>
      <c r="C15" s="123"/>
      <c r="D15" s="123"/>
      <c r="E15" s="123"/>
      <c r="F15" s="123"/>
      <c r="G15" s="123"/>
      <c r="H15" s="123"/>
      <c r="I15" s="26"/>
    </row>
    <row r="16" spans="1:10" ht="22.5" customHeight="1" x14ac:dyDescent="0.2">
      <c r="A16" s="123"/>
      <c r="B16" s="123"/>
      <c r="C16" s="25" t="s">
        <v>12</v>
      </c>
      <c r="D16" s="29" t="s">
        <v>145</v>
      </c>
      <c r="E16" s="123"/>
      <c r="F16" s="123"/>
      <c r="G16" s="123"/>
      <c r="H16" s="123"/>
      <c r="I16" s="26"/>
    </row>
    <row r="17" spans="1:9" x14ac:dyDescent="0.2">
      <c r="A17" s="123"/>
      <c r="B17" s="123"/>
      <c r="C17" s="123"/>
      <c r="D17" s="123"/>
      <c r="E17" s="123"/>
      <c r="F17" s="123"/>
      <c r="G17" s="123"/>
      <c r="H17" s="123"/>
      <c r="I17" s="26"/>
    </row>
    <row r="18" spans="1:9" ht="16.5" thickBot="1" x14ac:dyDescent="0.3">
      <c r="A18" s="123"/>
      <c r="B18" s="28" t="s">
        <v>13</v>
      </c>
      <c r="C18" s="123"/>
      <c r="D18" s="123"/>
      <c r="E18" s="123"/>
      <c r="F18" s="123"/>
      <c r="G18" s="123"/>
      <c r="H18" s="123"/>
      <c r="I18" s="26"/>
    </row>
    <row r="19" spans="1:9" ht="22.5" customHeight="1" x14ac:dyDescent="0.2">
      <c r="A19" s="123"/>
      <c r="B19" s="123"/>
      <c r="C19" s="25" t="s">
        <v>14</v>
      </c>
      <c r="D19" s="29">
        <v>5</v>
      </c>
      <c r="E19" s="123"/>
      <c r="F19" s="123"/>
      <c r="G19" s="123"/>
      <c r="H19" s="123"/>
      <c r="I19" s="26"/>
    </row>
    <row r="20" spans="1:9" x14ac:dyDescent="0.2">
      <c r="A20" s="123"/>
      <c r="B20" s="123"/>
      <c r="C20" s="30" t="s">
        <v>15</v>
      </c>
      <c r="D20" s="123"/>
      <c r="E20" s="123"/>
      <c r="F20" s="123"/>
      <c r="G20" s="123"/>
      <c r="H20" s="123"/>
      <c r="I20" s="26"/>
    </row>
    <row r="21" spans="1:9" x14ac:dyDescent="0.2">
      <c r="A21" s="123"/>
      <c r="B21" s="123"/>
      <c r="C21" s="123"/>
      <c r="D21" s="123"/>
      <c r="E21" s="123"/>
      <c r="F21" s="123"/>
      <c r="G21" s="123"/>
      <c r="H21" s="123"/>
      <c r="I21" s="26"/>
    </row>
    <row r="22" spans="1:9" ht="16.5" thickBot="1" x14ac:dyDescent="0.3">
      <c r="A22" s="123"/>
      <c r="B22" s="28" t="s">
        <v>16</v>
      </c>
      <c r="C22" s="123"/>
      <c r="D22" s="123"/>
      <c r="E22" s="123"/>
      <c r="F22" s="123"/>
      <c r="G22" s="123"/>
      <c r="H22" s="123"/>
      <c r="I22" s="26"/>
    </row>
    <row r="23" spans="1:9" ht="22.5" customHeight="1" thickBot="1" x14ac:dyDescent="0.25">
      <c r="A23" s="123"/>
      <c r="B23" s="123"/>
      <c r="C23" s="25" t="s">
        <v>17</v>
      </c>
      <c r="D23" s="98">
        <v>456</v>
      </c>
      <c r="E23" s="123"/>
      <c r="F23" s="123"/>
      <c r="G23" s="123"/>
      <c r="H23" s="123"/>
      <c r="I23" s="26"/>
    </row>
    <row r="24" spans="1:9" x14ac:dyDescent="0.2">
      <c r="A24" s="123"/>
      <c r="B24" s="123"/>
      <c r="C24" s="30" t="s">
        <v>18</v>
      </c>
      <c r="D24" s="123"/>
      <c r="E24" s="123"/>
      <c r="F24" s="123"/>
      <c r="G24" s="123"/>
      <c r="H24" s="123"/>
      <c r="I24" s="26"/>
    </row>
    <row r="25" spans="1:9" x14ac:dyDescent="0.2">
      <c r="A25" s="123"/>
      <c r="B25" s="123"/>
      <c r="C25" s="123"/>
      <c r="D25" s="123"/>
      <c r="E25" s="123"/>
      <c r="F25" s="123"/>
      <c r="G25" s="123"/>
      <c r="H25" s="123"/>
      <c r="I25" s="26"/>
    </row>
    <row r="26" spans="1:9" x14ac:dyDescent="0.2">
      <c r="A26" s="123"/>
      <c r="B26" s="123"/>
      <c r="C26" s="123"/>
      <c r="D26" s="123"/>
      <c r="E26" s="123"/>
      <c r="F26" s="123"/>
      <c r="G26" s="123"/>
      <c r="H26" s="123"/>
      <c r="I26" s="26"/>
    </row>
    <row r="27" spans="1:9" x14ac:dyDescent="0.2">
      <c r="A27" s="123"/>
      <c r="B27" s="31" t="s">
        <v>19</v>
      </c>
      <c r="C27" s="123"/>
      <c r="D27" s="123"/>
      <c r="E27" s="123"/>
      <c r="F27" s="123"/>
      <c r="G27" s="123"/>
      <c r="H27" s="123"/>
      <c r="I27" s="26"/>
    </row>
    <row r="28" spans="1:9" ht="6.75" customHeight="1" x14ac:dyDescent="0.2">
      <c r="A28" s="26" t="s">
        <v>0</v>
      </c>
      <c r="B28" s="26"/>
      <c r="C28" s="26"/>
      <c r="D28" s="26"/>
      <c r="E28" s="26"/>
      <c r="F28" s="26"/>
      <c r="G28" s="26"/>
      <c r="H28" s="26"/>
      <c r="I28" s="26"/>
    </row>
  </sheetData>
  <mergeCells count="5">
    <mergeCell ref="B6:F6"/>
    <mergeCell ref="B14:E14"/>
    <mergeCell ref="B11:F11"/>
    <mergeCell ref="B7:F7"/>
    <mergeCell ref="B8:F8"/>
  </mergeCells>
  <conditionalFormatting sqref="D16">
    <cfRule type="expression" dxfId="354" priority="3">
      <formula>_xlfn.ISFORMULA($D$16)</formula>
    </cfRule>
  </conditionalFormatting>
  <conditionalFormatting sqref="D19">
    <cfRule type="expression" dxfId="353" priority="2">
      <formula>_xlfn.ISFORMULA($D$19)</formula>
    </cfRule>
  </conditionalFormatting>
  <conditionalFormatting sqref="D23">
    <cfRule type="expression" dxfId="352" priority="1">
      <formula>_xlfn.ISFORMULA($D$23)</formula>
    </cfRule>
  </conditionalFormatting>
  <dataValidations count="1">
    <dataValidation type="list" allowBlank="1" showInputMessage="1" showErrorMessage="1" sqref="D19" xr:uid="{00000000-0002-0000-0000-000000000000}">
      <formula1>"3,4,5,6,7,8,9,10"</formula1>
    </dataValidation>
  </dataValidations>
  <hyperlinks>
    <hyperlink ref="B7" r:id="rId1" xr:uid="{13E5A5FD-EE9F-49B0-9621-A1B94F1D4CAC}"/>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sheetPr>
  <dimension ref="A1:N71"/>
  <sheetViews>
    <sheetView showGridLines="0" zoomScaleNormal="100" workbookViewId="0">
      <selection activeCell="A2" sqref="A2:B2"/>
    </sheetView>
  </sheetViews>
  <sheetFormatPr defaultColWidth="8.88671875" defaultRowHeight="15" x14ac:dyDescent="0.2"/>
  <cols>
    <col min="1" max="2" width="2" customWidth="1"/>
    <col min="3" max="3" width="27.88671875" customWidth="1"/>
    <col min="4" max="4" width="15.109375" customWidth="1"/>
    <col min="5" max="7" width="12" customWidth="1"/>
    <col min="8" max="8" width="15" customWidth="1"/>
    <col min="9" max="9" width="11.5546875" customWidth="1"/>
    <col min="10" max="10" width="11.44140625" customWidth="1"/>
    <col min="11" max="11" width="12.33203125" customWidth="1"/>
    <col min="12" max="12" width="13.77734375" customWidth="1"/>
    <col min="13" max="14" width="0.77734375" customWidth="1"/>
  </cols>
  <sheetData>
    <row r="1" spans="1:14" ht="0.75" customHeight="1" x14ac:dyDescent="0.2">
      <c r="A1" s="123"/>
      <c r="B1" s="123"/>
      <c r="C1" s="123"/>
      <c r="D1" s="123"/>
      <c r="E1" s="123"/>
      <c r="F1" s="123"/>
      <c r="G1" s="123"/>
      <c r="H1" s="123"/>
      <c r="I1" s="123"/>
      <c r="J1" s="123"/>
      <c r="K1" s="123"/>
      <c r="L1" s="123"/>
      <c r="M1" s="123"/>
      <c r="N1" s="26" t="s">
        <v>0</v>
      </c>
    </row>
    <row r="2" spans="1:14" ht="27.75" x14ac:dyDescent="0.4">
      <c r="A2" s="27" t="s">
        <v>20</v>
      </c>
      <c r="B2" s="123"/>
      <c r="C2" s="123"/>
      <c r="D2" s="123"/>
      <c r="E2" s="123"/>
      <c r="F2" s="123"/>
      <c r="G2" s="123"/>
      <c r="H2" s="123"/>
      <c r="I2" s="123"/>
      <c r="J2" s="123"/>
      <c r="K2" s="123"/>
      <c r="L2" s="123"/>
      <c r="M2" s="123"/>
      <c r="N2" s="26"/>
    </row>
    <row r="3" spans="1:14" ht="36.75" customHeight="1" x14ac:dyDescent="0.2">
      <c r="A3" s="123"/>
      <c r="B3" s="132" t="s">
        <v>21</v>
      </c>
      <c r="C3" s="132"/>
      <c r="D3" s="132"/>
      <c r="E3" s="132"/>
      <c r="F3" s="132"/>
      <c r="G3" s="132"/>
      <c r="H3" s="132"/>
      <c r="I3" s="123"/>
      <c r="J3" s="123"/>
      <c r="K3" s="123"/>
      <c r="L3" s="123"/>
      <c r="M3" s="123"/>
      <c r="N3" s="26"/>
    </row>
    <row r="4" spans="1:14" ht="20.25" thickBot="1" x14ac:dyDescent="0.35">
      <c r="A4" s="3" t="s">
        <v>22</v>
      </c>
      <c r="B4" s="3"/>
      <c r="C4" s="3"/>
      <c r="D4" s="3"/>
      <c r="E4" s="3"/>
      <c r="F4" s="3"/>
      <c r="G4" s="3"/>
      <c r="H4" s="3"/>
      <c r="I4" s="3"/>
      <c r="J4" s="3"/>
      <c r="K4" s="3"/>
      <c r="L4" s="3"/>
      <c r="M4" s="123"/>
      <c r="N4" s="26"/>
    </row>
    <row r="5" spans="1:14" ht="40.5" customHeight="1" thickTop="1" thickBot="1" x14ac:dyDescent="0.25">
      <c r="A5" s="123"/>
      <c r="B5" s="137" t="s">
        <v>23</v>
      </c>
      <c r="C5" s="137"/>
      <c r="D5" s="137"/>
      <c r="E5" s="137"/>
      <c r="F5" s="137"/>
      <c r="G5" s="16"/>
      <c r="H5" s="16"/>
      <c r="I5" s="123"/>
      <c r="J5" s="123"/>
      <c r="K5" s="123"/>
      <c r="L5" s="123"/>
      <c r="M5" s="123"/>
      <c r="N5" s="26"/>
    </row>
    <row r="6" spans="1:14" ht="21.75" customHeight="1" thickBot="1" x14ac:dyDescent="0.3">
      <c r="A6" s="123"/>
      <c r="B6" s="123"/>
      <c r="C6" s="123"/>
      <c r="D6" s="5" t="s">
        <v>24</v>
      </c>
      <c r="E6" s="5" t="s">
        <v>25</v>
      </c>
      <c r="F6" s="5" t="s">
        <v>26</v>
      </c>
      <c r="G6" s="123"/>
      <c r="H6" s="123"/>
      <c r="I6" s="123"/>
      <c r="J6" s="123"/>
      <c r="K6" s="123"/>
      <c r="L6" s="123"/>
      <c r="M6" s="123"/>
      <c r="N6" s="26"/>
    </row>
    <row r="7" spans="1:14" ht="33" customHeight="1" thickBot="1" x14ac:dyDescent="0.25">
      <c r="A7" s="123"/>
      <c r="B7" s="123"/>
      <c r="C7" s="124" t="str">
        <f>VendorName&amp;" Costs"</f>
        <v>Vendor Costs</v>
      </c>
      <c r="D7" s="32">
        <f>G24</f>
        <v>124944</v>
      </c>
      <c r="E7" s="9">
        <f>K24</f>
        <v>30187.200000000001</v>
      </c>
      <c r="F7" s="9">
        <f>D7+E7*DurationYrs</f>
        <v>275880</v>
      </c>
      <c r="G7" s="123"/>
      <c r="H7" s="123"/>
      <c r="I7" s="123"/>
      <c r="J7" s="123"/>
      <c r="K7" s="123"/>
      <c r="L7" s="123"/>
      <c r="M7" s="123"/>
      <c r="N7" s="26"/>
    </row>
    <row r="8" spans="1:14" ht="33" customHeight="1" thickBot="1" x14ac:dyDescent="0.25">
      <c r="A8" s="123"/>
      <c r="B8" s="123"/>
      <c r="C8" s="124" t="str">
        <f>"Internal Costs"</f>
        <v>Internal Costs</v>
      </c>
      <c r="D8" s="32">
        <f>G37</f>
        <v>21888</v>
      </c>
      <c r="E8" s="9">
        <f>K37</f>
        <v>4815.3599999999997</v>
      </c>
      <c r="F8" s="9">
        <f>D8+E8*DurationYrs</f>
        <v>45964.800000000003</v>
      </c>
      <c r="G8" s="123"/>
      <c r="H8" s="123"/>
      <c r="I8" s="123"/>
      <c r="J8" s="123"/>
      <c r="K8" s="123"/>
      <c r="L8" s="123"/>
      <c r="M8" s="123"/>
      <c r="N8" s="26"/>
    </row>
    <row r="9" spans="1:14" ht="33" customHeight="1" thickBot="1" x14ac:dyDescent="0.25">
      <c r="A9" s="123"/>
      <c r="B9" s="123"/>
      <c r="C9" s="124" t="str">
        <f>"Internal Labor"</f>
        <v>Internal Labor</v>
      </c>
      <c r="D9" s="32">
        <f>G52</f>
        <v>68856</v>
      </c>
      <c r="E9" s="9">
        <f>K52</f>
        <v>21850</v>
      </c>
      <c r="F9" s="9">
        <f>D9+E9*DurationYrs</f>
        <v>178106</v>
      </c>
      <c r="G9" s="123"/>
      <c r="H9" s="123"/>
      <c r="I9" s="123"/>
      <c r="J9" s="123"/>
      <c r="K9" s="123"/>
      <c r="L9" s="123"/>
      <c r="M9" s="123"/>
      <c r="N9" s="26"/>
    </row>
    <row r="10" spans="1:14" ht="33" customHeight="1" thickBot="1" x14ac:dyDescent="0.25">
      <c r="A10" s="123"/>
      <c r="B10" s="123"/>
      <c r="C10" s="125" t="str">
        <f>"3rd Party Services"</f>
        <v>3rd Party Services</v>
      </c>
      <c r="D10" s="32">
        <f>G65</f>
        <v>8816</v>
      </c>
      <c r="E10" s="9">
        <f>K65</f>
        <v>7539.2</v>
      </c>
      <c r="F10" s="9">
        <f>D10+E10*DurationYrs</f>
        <v>46512</v>
      </c>
      <c r="G10" s="123"/>
      <c r="H10" s="123"/>
      <c r="I10" s="123"/>
      <c r="J10" s="123"/>
      <c r="K10" s="123"/>
      <c r="L10" s="123"/>
      <c r="M10" s="123"/>
      <c r="N10" s="26"/>
    </row>
    <row r="11" spans="1:14" ht="33" customHeight="1" thickTop="1" x14ac:dyDescent="0.2">
      <c r="A11" s="123"/>
      <c r="B11" s="123"/>
      <c r="C11" s="33" t="s">
        <v>27</v>
      </c>
      <c r="D11" s="38">
        <f>SUM(D7:D10)</f>
        <v>224504</v>
      </c>
      <c r="E11" s="38">
        <f>SUM(E7:E10)</f>
        <v>64391.759999999995</v>
      </c>
      <c r="F11" s="38">
        <f>SUM(F7:F10)</f>
        <v>546462.80000000005</v>
      </c>
      <c r="G11" s="123"/>
      <c r="H11" s="123"/>
      <c r="I11" s="123"/>
      <c r="J11" s="123"/>
      <c r="K11" s="123"/>
      <c r="L11" s="123"/>
      <c r="M11" s="123"/>
      <c r="N11" s="26"/>
    </row>
    <row r="12" spans="1:14" ht="10.5" customHeight="1" x14ac:dyDescent="0.2">
      <c r="A12" s="123"/>
      <c r="B12" s="123"/>
      <c r="C12" s="123"/>
      <c r="D12" s="123"/>
      <c r="E12" s="123"/>
      <c r="F12" s="123"/>
      <c r="G12" s="123"/>
      <c r="H12" s="123"/>
      <c r="I12" s="123"/>
      <c r="J12" s="123"/>
      <c r="K12" s="123"/>
      <c r="L12" s="123"/>
      <c r="M12" s="123"/>
      <c r="N12" s="26"/>
    </row>
    <row r="13" spans="1:14" ht="20.25" thickBot="1" x14ac:dyDescent="0.35">
      <c r="A13" s="3" t="str">
        <f>C7</f>
        <v>Vendor Costs</v>
      </c>
      <c r="B13" s="3"/>
      <c r="C13" s="3"/>
      <c r="D13" s="3"/>
      <c r="E13" s="3"/>
      <c r="F13" s="3"/>
      <c r="G13" s="3"/>
      <c r="H13" s="3"/>
      <c r="I13" s="3"/>
      <c r="J13" s="3"/>
      <c r="K13" s="3"/>
      <c r="L13" s="3"/>
      <c r="M13" s="123"/>
      <c r="N13" s="26"/>
    </row>
    <row r="14" spans="1:14" ht="22.5" customHeight="1" thickTop="1" thickBot="1" x14ac:dyDescent="0.25">
      <c r="A14" s="123"/>
      <c r="B14" s="137" t="s">
        <v>28</v>
      </c>
      <c r="C14" s="137"/>
      <c r="D14" s="137"/>
      <c r="E14" s="137"/>
      <c r="F14" s="137"/>
      <c r="G14" s="137"/>
      <c r="H14" s="137"/>
      <c r="I14" s="123"/>
      <c r="J14" s="123"/>
      <c r="K14" s="123"/>
      <c r="L14" s="123"/>
      <c r="M14" s="123"/>
      <c r="N14" s="26"/>
    </row>
    <row r="15" spans="1:14" ht="16.5" customHeight="1" thickBot="1" x14ac:dyDescent="0.3">
      <c r="A15" s="123"/>
      <c r="B15" s="123"/>
      <c r="C15" s="123"/>
      <c r="D15" s="138" t="s">
        <v>29</v>
      </c>
      <c r="E15" s="139"/>
      <c r="F15" s="139"/>
      <c r="G15" s="140"/>
      <c r="H15" s="136" t="s">
        <v>30</v>
      </c>
      <c r="I15" s="136"/>
      <c r="J15" s="136"/>
      <c r="K15" s="136"/>
      <c r="L15" s="5" t="s">
        <v>26</v>
      </c>
      <c r="M15" s="123"/>
      <c r="N15" s="26"/>
    </row>
    <row r="16" spans="1:14" ht="16.5" thickBot="1" x14ac:dyDescent="0.3">
      <c r="A16" s="123"/>
      <c r="B16" s="123"/>
      <c r="C16" s="122" t="s">
        <v>31</v>
      </c>
      <c r="D16" s="122" t="s">
        <v>32</v>
      </c>
      <c r="E16" s="122" t="s">
        <v>33</v>
      </c>
      <c r="F16" s="122" t="s">
        <v>34</v>
      </c>
      <c r="G16" s="5" t="s">
        <v>26</v>
      </c>
      <c r="H16" s="122" t="s">
        <v>32</v>
      </c>
      <c r="I16" s="122" t="s">
        <v>33</v>
      </c>
      <c r="J16" s="122" t="s">
        <v>34</v>
      </c>
      <c r="K16" s="5" t="s">
        <v>26</v>
      </c>
      <c r="L16" s="5"/>
      <c r="M16" s="123"/>
      <c r="N16" s="26"/>
    </row>
    <row r="17" spans="1:14" ht="15.75" thickBot="1" x14ac:dyDescent="0.25">
      <c r="A17" s="123"/>
      <c r="B17" s="123"/>
      <c r="C17" s="39" t="str">
        <f>"Product A Licensing"</f>
        <v>Product A Licensing</v>
      </c>
      <c r="D17" s="40" t="str">
        <f>"Licenses"</f>
        <v>Licenses</v>
      </c>
      <c r="E17" s="41">
        <f>Users</f>
        <v>456</v>
      </c>
      <c r="F17" s="42">
        <f>200</f>
        <v>200</v>
      </c>
      <c r="G17" s="34">
        <f t="shared" ref="G17:G23" si="0">E17*F17</f>
        <v>91200</v>
      </c>
      <c r="H17" s="40" t="str">
        <f>"Licenses"</f>
        <v>Licenses</v>
      </c>
      <c r="I17" s="41">
        <f>E17</f>
        <v>456</v>
      </c>
      <c r="J17" s="42">
        <f>F17*0.22</f>
        <v>44</v>
      </c>
      <c r="K17" s="32">
        <f>I17*J17</f>
        <v>20064</v>
      </c>
      <c r="L17" s="9">
        <f t="shared" ref="L17:L23" si="1">G17+K17*DurationYrs</f>
        <v>191520</v>
      </c>
      <c r="M17" s="123"/>
      <c r="N17" s="26"/>
    </row>
    <row r="18" spans="1:14" ht="15.75" thickBot="1" x14ac:dyDescent="0.25">
      <c r="A18" s="123"/>
      <c r="B18" s="123"/>
      <c r="C18" s="39" t="str">
        <f>"Product B Licensing"</f>
        <v>Product B Licensing</v>
      </c>
      <c r="D18" s="40" t="str">
        <f>"Server CPUs"</f>
        <v>Server CPUs</v>
      </c>
      <c r="E18" s="41">
        <f>E17/100</f>
        <v>4.5599999999999996</v>
      </c>
      <c r="F18" s="42">
        <f>1000</f>
        <v>1000</v>
      </c>
      <c r="G18" s="34">
        <f t="shared" si="0"/>
        <v>4560</v>
      </c>
      <c r="H18" s="40" t="str">
        <f>D18</f>
        <v>Server CPUs</v>
      </c>
      <c r="I18" s="41">
        <f>E18</f>
        <v>4.5599999999999996</v>
      </c>
      <c r="J18" s="42">
        <f>F18*0.22</f>
        <v>220</v>
      </c>
      <c r="K18" s="32">
        <f t="shared" ref="K18:K23" si="2">I18*J18</f>
        <v>1003.1999999999999</v>
      </c>
      <c r="L18" s="9">
        <f t="shared" si="1"/>
        <v>9576</v>
      </c>
      <c r="M18" s="123"/>
      <c r="N18" s="26"/>
    </row>
    <row r="19" spans="1:14" ht="15.75" thickBot="1" x14ac:dyDescent="0.25">
      <c r="A19" s="123"/>
      <c r="B19" s="123"/>
      <c r="C19" s="39" t="str">
        <f>"Implementation Services"</f>
        <v>Implementation Services</v>
      </c>
      <c r="D19" s="40" t="str">
        <f>"Person-days"</f>
        <v>Person-days</v>
      </c>
      <c r="E19" s="41">
        <f>G17/5000</f>
        <v>18.239999999999998</v>
      </c>
      <c r="F19" s="42">
        <f>200*8</f>
        <v>1600</v>
      </c>
      <c r="G19" s="34">
        <f t="shared" si="0"/>
        <v>29183.999999999996</v>
      </c>
      <c r="H19" s="40"/>
      <c r="I19" s="41">
        <f>0</f>
        <v>0</v>
      </c>
      <c r="J19" s="42">
        <f>0</f>
        <v>0</v>
      </c>
      <c r="K19" s="32">
        <f t="shared" si="2"/>
        <v>0</v>
      </c>
      <c r="L19" s="9">
        <f t="shared" si="1"/>
        <v>29183.999999999996</v>
      </c>
      <c r="M19" s="123"/>
      <c r="N19" s="26"/>
    </row>
    <row r="20" spans="1:14" ht="15.75" thickBot="1" x14ac:dyDescent="0.25">
      <c r="A20" s="123"/>
      <c r="B20" s="123"/>
      <c r="C20" s="39" t="str">
        <f>"Support Services"</f>
        <v>Support Services</v>
      </c>
      <c r="D20" s="40"/>
      <c r="E20" s="41"/>
      <c r="F20" s="42"/>
      <c r="G20" s="34">
        <f t="shared" si="0"/>
        <v>0</v>
      </c>
      <c r="H20" s="40" t="str">
        <f>"Incidents / Yr"</f>
        <v>Incidents / Yr</v>
      </c>
      <c r="I20" s="41">
        <f>Users/50</f>
        <v>9.1199999999999992</v>
      </c>
      <c r="J20" s="42">
        <f>1000</f>
        <v>1000</v>
      </c>
      <c r="K20" s="32">
        <f t="shared" si="2"/>
        <v>9120</v>
      </c>
      <c r="L20" s="9">
        <f t="shared" si="1"/>
        <v>45600</v>
      </c>
      <c r="M20" s="123"/>
      <c r="N20" s="26"/>
    </row>
    <row r="21" spans="1:14" ht="15.75" thickBot="1" x14ac:dyDescent="0.25">
      <c r="A21" s="123"/>
      <c r="B21" s="123"/>
      <c r="C21" s="39" t="str">
        <f>"Other"</f>
        <v>Other</v>
      </c>
      <c r="D21" s="40"/>
      <c r="E21" s="41"/>
      <c r="F21" s="42"/>
      <c r="G21" s="34">
        <f t="shared" si="0"/>
        <v>0</v>
      </c>
      <c r="H21" s="40"/>
      <c r="I21" s="41">
        <f>E21</f>
        <v>0</v>
      </c>
      <c r="J21" s="42">
        <f t="shared" ref="J21:J22" si="3">F21*0.22</f>
        <v>0</v>
      </c>
      <c r="K21" s="32">
        <f t="shared" ref="K21:K22" si="4">I21*J21</f>
        <v>0</v>
      </c>
      <c r="L21" s="9">
        <f t="shared" si="1"/>
        <v>0</v>
      </c>
      <c r="M21" s="123"/>
      <c r="N21" s="26"/>
    </row>
    <row r="22" spans="1:14" ht="15.75" thickBot="1" x14ac:dyDescent="0.25">
      <c r="A22" s="123"/>
      <c r="B22" s="123"/>
      <c r="C22" s="39" t="str">
        <f>"Other"</f>
        <v>Other</v>
      </c>
      <c r="D22" s="40"/>
      <c r="E22" s="41"/>
      <c r="F22" s="42"/>
      <c r="G22" s="34">
        <f t="shared" si="0"/>
        <v>0</v>
      </c>
      <c r="H22" s="40"/>
      <c r="I22" s="41">
        <f>E22</f>
        <v>0</v>
      </c>
      <c r="J22" s="42">
        <f t="shared" si="3"/>
        <v>0</v>
      </c>
      <c r="K22" s="32">
        <f t="shared" si="4"/>
        <v>0</v>
      </c>
      <c r="L22" s="9">
        <f t="shared" si="1"/>
        <v>0</v>
      </c>
      <c r="M22" s="123"/>
      <c r="N22" s="26"/>
    </row>
    <row r="23" spans="1:14" ht="15.75" thickBot="1" x14ac:dyDescent="0.25">
      <c r="A23" s="123"/>
      <c r="B23" s="123"/>
      <c r="C23" s="43" t="str">
        <f>"Other"</f>
        <v>Other</v>
      </c>
      <c r="D23" s="44"/>
      <c r="E23" s="45"/>
      <c r="F23" s="46"/>
      <c r="G23" s="34">
        <f t="shared" si="0"/>
        <v>0</v>
      </c>
      <c r="H23" s="44"/>
      <c r="I23" s="45">
        <f>E23</f>
        <v>0</v>
      </c>
      <c r="J23" s="46">
        <f>F23*0.22</f>
        <v>0</v>
      </c>
      <c r="K23" s="32">
        <f t="shared" si="2"/>
        <v>0</v>
      </c>
      <c r="L23" s="9">
        <f t="shared" si="1"/>
        <v>0</v>
      </c>
      <c r="M23" s="123"/>
      <c r="N23" s="26"/>
    </row>
    <row r="24" spans="1:14" ht="15.75" thickTop="1" x14ac:dyDescent="0.2">
      <c r="A24" s="123"/>
      <c r="B24" s="123"/>
      <c r="C24" s="33" t="s">
        <v>26</v>
      </c>
      <c r="D24" s="123"/>
      <c r="E24" s="35">
        <f>SUM(E17:E23)</f>
        <v>478.8</v>
      </c>
      <c r="F24" s="36">
        <f t="shared" ref="F24" si="5">SUM(F17:F23)</f>
        <v>2800</v>
      </c>
      <c r="G24" s="38">
        <f>SUM(G17:G23)</f>
        <v>124944</v>
      </c>
      <c r="H24" s="123"/>
      <c r="I24" s="35">
        <f>SUM(I17:I23)</f>
        <v>469.68</v>
      </c>
      <c r="J24" s="36">
        <f>SUM(J17:J23)</f>
        <v>1264</v>
      </c>
      <c r="K24" s="38">
        <f>SUM(K17:K23)</f>
        <v>30187.200000000001</v>
      </c>
      <c r="L24" s="38">
        <f>SUM(L17:L23)</f>
        <v>275880</v>
      </c>
      <c r="M24" s="123"/>
      <c r="N24" s="26"/>
    </row>
    <row r="25" spans="1:14" ht="11.25" customHeight="1" thickBot="1" x14ac:dyDescent="0.25">
      <c r="A25" s="123"/>
      <c r="B25" s="123"/>
      <c r="C25" s="123"/>
      <c r="D25" s="123"/>
      <c r="E25" s="123"/>
      <c r="F25" s="123"/>
      <c r="G25" s="123"/>
      <c r="H25" s="123"/>
      <c r="I25" s="123"/>
      <c r="J25" s="123"/>
      <c r="K25" s="123"/>
      <c r="L25" s="123"/>
      <c r="M25" s="123"/>
      <c r="N25" s="26"/>
    </row>
    <row r="26" spans="1:14" ht="27" customHeight="1" thickBot="1" x14ac:dyDescent="0.25">
      <c r="A26" s="123"/>
      <c r="B26" s="123"/>
      <c r="C26" s="133" t="str">
        <f>"Comments"</f>
        <v>Comments</v>
      </c>
      <c r="D26" s="134"/>
      <c r="E26" s="134"/>
      <c r="F26" s="134"/>
      <c r="G26" s="134"/>
      <c r="H26" s="134"/>
      <c r="I26" s="134"/>
      <c r="J26" s="134"/>
      <c r="K26" s="134"/>
      <c r="L26" s="135"/>
      <c r="M26" s="123"/>
      <c r="N26" s="26"/>
    </row>
    <row r="27" spans="1:14" ht="8.25" customHeight="1" x14ac:dyDescent="0.2">
      <c r="A27" s="123"/>
      <c r="B27" s="123"/>
      <c r="C27" s="123"/>
      <c r="D27" s="123"/>
      <c r="E27" s="123"/>
      <c r="F27" s="123"/>
      <c r="G27" s="123"/>
      <c r="H27" s="123"/>
      <c r="I27" s="123"/>
      <c r="J27" s="123"/>
      <c r="K27" s="123"/>
      <c r="L27" s="123"/>
      <c r="M27" s="123"/>
      <c r="N27" s="26"/>
    </row>
    <row r="28" spans="1:14" ht="20.25" thickBot="1" x14ac:dyDescent="0.35">
      <c r="A28" s="3" t="str">
        <f>C8</f>
        <v>Internal Costs</v>
      </c>
      <c r="B28" s="3"/>
      <c r="C28" s="3"/>
      <c r="D28" s="3"/>
      <c r="E28" s="3"/>
      <c r="F28" s="3"/>
      <c r="G28" s="3"/>
      <c r="H28" s="3"/>
      <c r="I28" s="3"/>
      <c r="J28" s="3"/>
      <c r="K28" s="3"/>
      <c r="L28" s="3"/>
      <c r="M28" s="123"/>
      <c r="N28" s="26"/>
    </row>
    <row r="29" spans="1:14" ht="23.25" customHeight="1" thickTop="1" thickBot="1" x14ac:dyDescent="0.25">
      <c r="A29" s="123"/>
      <c r="B29" s="137" t="s">
        <v>35</v>
      </c>
      <c r="C29" s="137"/>
      <c r="D29" s="137"/>
      <c r="E29" s="137"/>
      <c r="F29" s="137"/>
      <c r="G29" s="137"/>
      <c r="H29" s="137"/>
      <c r="I29" s="123"/>
      <c r="J29" s="123"/>
      <c r="K29" s="123"/>
      <c r="L29" s="123"/>
      <c r="M29" s="123"/>
      <c r="N29" s="26"/>
    </row>
    <row r="30" spans="1:14" ht="16.5" customHeight="1" thickBot="1" x14ac:dyDescent="0.3">
      <c r="A30" s="123"/>
      <c r="B30" s="123"/>
      <c r="C30" s="123"/>
      <c r="D30" s="138" t="s">
        <v>29</v>
      </c>
      <c r="E30" s="139"/>
      <c r="F30" s="139"/>
      <c r="G30" s="140"/>
      <c r="H30" s="136" t="s">
        <v>30</v>
      </c>
      <c r="I30" s="136"/>
      <c r="J30" s="136"/>
      <c r="K30" s="136"/>
      <c r="L30" s="5" t="s">
        <v>26</v>
      </c>
      <c r="M30" s="123"/>
      <c r="N30" s="26"/>
    </row>
    <row r="31" spans="1:14" ht="16.5" thickBot="1" x14ac:dyDescent="0.3">
      <c r="A31" s="123"/>
      <c r="B31" s="123"/>
      <c r="C31" s="122" t="s">
        <v>31</v>
      </c>
      <c r="D31" s="122" t="s">
        <v>32</v>
      </c>
      <c r="E31" s="122" t="s">
        <v>33</v>
      </c>
      <c r="F31" s="122" t="s">
        <v>34</v>
      </c>
      <c r="G31" s="5" t="s">
        <v>26</v>
      </c>
      <c r="H31" s="122" t="s">
        <v>32</v>
      </c>
      <c r="I31" s="122" t="s">
        <v>33</v>
      </c>
      <c r="J31" s="122" t="s">
        <v>34</v>
      </c>
      <c r="K31" s="5" t="s">
        <v>26</v>
      </c>
      <c r="L31" s="5"/>
      <c r="M31" s="123"/>
      <c r="N31" s="26"/>
    </row>
    <row r="32" spans="1:14" ht="15.75" thickBot="1" x14ac:dyDescent="0.25">
      <c r="A32" s="123"/>
      <c r="B32" s="123"/>
      <c r="C32" s="39" t="str">
        <f>"Hardware"</f>
        <v>Hardware</v>
      </c>
      <c r="D32" s="40" t="str">
        <f>"Server CPUs"</f>
        <v>Server CPUs</v>
      </c>
      <c r="E32" s="41">
        <f>Users/100</f>
        <v>4.5599999999999996</v>
      </c>
      <c r="F32" s="42">
        <f>2000</f>
        <v>2000</v>
      </c>
      <c r="G32" s="34">
        <f>E32*F32</f>
        <v>9120</v>
      </c>
      <c r="H32" s="40" t="str">
        <f>"Servers"</f>
        <v>Servers</v>
      </c>
      <c r="I32" s="41">
        <f>E32</f>
        <v>4.5599999999999996</v>
      </c>
      <c r="J32" s="42">
        <f>F32*0.22</f>
        <v>440</v>
      </c>
      <c r="K32" s="32">
        <f>I32*J32</f>
        <v>2006.3999999999999</v>
      </c>
      <c r="L32" s="9">
        <f>G32+K32*DurationYrs</f>
        <v>19152</v>
      </c>
      <c r="M32" s="123"/>
      <c r="N32" s="26"/>
    </row>
    <row r="33" spans="1:14" ht="15.75" thickBot="1" x14ac:dyDescent="0.25">
      <c r="A33" s="123"/>
      <c r="B33" s="123"/>
      <c r="C33" s="39" t="str">
        <f>"Software"</f>
        <v>Software</v>
      </c>
      <c r="D33" s="40" t="str">
        <f>"Server CPUs"</f>
        <v>Server CPUs</v>
      </c>
      <c r="E33" s="41">
        <f>E32</f>
        <v>4.5599999999999996</v>
      </c>
      <c r="F33" s="42">
        <f>F32*0.8</f>
        <v>1600</v>
      </c>
      <c r="G33" s="34">
        <f>E33*F33</f>
        <v>7295.9999999999991</v>
      </c>
      <c r="H33" s="40" t="str">
        <f>"Servers"</f>
        <v>Servers</v>
      </c>
      <c r="I33" s="41">
        <f>E33</f>
        <v>4.5599999999999996</v>
      </c>
      <c r="J33" s="42">
        <f>F33*0.22</f>
        <v>352</v>
      </c>
      <c r="K33" s="32">
        <f t="shared" ref="K33:K36" si="6">I33*J33</f>
        <v>1605.12</v>
      </c>
      <c r="L33" s="9">
        <f>G33+K33*DurationYrs</f>
        <v>15321.599999999999</v>
      </c>
      <c r="M33" s="123"/>
      <c r="N33" s="26"/>
    </row>
    <row r="34" spans="1:14" ht="15.75" thickBot="1" x14ac:dyDescent="0.25">
      <c r="A34" s="123"/>
      <c r="B34" s="123"/>
      <c r="C34" s="39" t="str">
        <f>"Storage / Backup"</f>
        <v>Storage / Backup</v>
      </c>
      <c r="D34" s="40" t="str">
        <f>"Server CPUs"</f>
        <v>Server CPUs</v>
      </c>
      <c r="E34" s="41">
        <f t="shared" ref="E34:E35" si="7">E33</f>
        <v>4.5599999999999996</v>
      </c>
      <c r="F34" s="42">
        <f>F32*0.3</f>
        <v>600</v>
      </c>
      <c r="G34" s="34">
        <f>E34*F34</f>
        <v>2735.9999999999995</v>
      </c>
      <c r="H34" s="40"/>
      <c r="I34" s="41">
        <f>E34</f>
        <v>4.5599999999999996</v>
      </c>
      <c r="J34" s="42">
        <f>F34*0.22</f>
        <v>132</v>
      </c>
      <c r="K34" s="32">
        <f>I34*J34</f>
        <v>601.91999999999996</v>
      </c>
      <c r="L34" s="9">
        <f>G34+K34*DurationYrs</f>
        <v>5745.5999999999995</v>
      </c>
      <c r="M34" s="123"/>
      <c r="N34" s="26"/>
    </row>
    <row r="35" spans="1:14" ht="15.75" thickBot="1" x14ac:dyDescent="0.25">
      <c r="A35" s="123"/>
      <c r="B35" s="123"/>
      <c r="C35" s="39" t="str">
        <f>"Networking / Facilities"</f>
        <v>Networking / Facilities</v>
      </c>
      <c r="D35" s="40" t="str">
        <f>"Server CPUs"</f>
        <v>Server CPUs</v>
      </c>
      <c r="E35" s="41">
        <f t="shared" si="7"/>
        <v>4.5599999999999996</v>
      </c>
      <c r="F35" s="42">
        <f>F32*0.3</f>
        <v>600</v>
      </c>
      <c r="G35" s="34">
        <f>E35*F35</f>
        <v>2735.9999999999995</v>
      </c>
      <c r="H35" s="40" t="str">
        <f>"Servers"</f>
        <v>Servers</v>
      </c>
      <c r="I35" s="41">
        <f>E35</f>
        <v>4.5599999999999996</v>
      </c>
      <c r="J35" s="42">
        <f>F35*0.22</f>
        <v>132</v>
      </c>
      <c r="K35" s="32">
        <f t="shared" si="6"/>
        <v>601.91999999999996</v>
      </c>
      <c r="L35" s="9">
        <f>G35+K35*DurationYrs</f>
        <v>5745.5999999999995</v>
      </c>
      <c r="M35" s="123"/>
      <c r="N35" s="26"/>
    </row>
    <row r="36" spans="1:14" ht="15.75" thickBot="1" x14ac:dyDescent="0.25">
      <c r="A36" s="123"/>
      <c r="B36" s="123"/>
      <c r="C36" s="43" t="str">
        <f>"Other"</f>
        <v>Other</v>
      </c>
      <c r="D36" s="44"/>
      <c r="E36" s="45"/>
      <c r="F36" s="46"/>
      <c r="G36" s="34">
        <f>E36*F36</f>
        <v>0</v>
      </c>
      <c r="H36" s="44"/>
      <c r="I36" s="45">
        <f>E36</f>
        <v>0</v>
      </c>
      <c r="J36" s="46">
        <f>F36*0.22</f>
        <v>0</v>
      </c>
      <c r="K36" s="32">
        <f t="shared" si="6"/>
        <v>0</v>
      </c>
      <c r="L36" s="9">
        <f>G36+K36*DurationYrs</f>
        <v>0</v>
      </c>
      <c r="M36" s="123"/>
      <c r="N36" s="26"/>
    </row>
    <row r="37" spans="1:14" ht="15.75" thickTop="1" x14ac:dyDescent="0.2">
      <c r="A37" s="123"/>
      <c r="B37" s="123"/>
      <c r="C37" s="33" t="s">
        <v>26</v>
      </c>
      <c r="D37" s="123"/>
      <c r="E37" s="35">
        <f>SUM(E32:E36)</f>
        <v>18.239999999999998</v>
      </c>
      <c r="F37" s="36">
        <f>SUM(F32:F36)</f>
        <v>4800</v>
      </c>
      <c r="G37" s="38">
        <f>SUM(G32:G36)</f>
        <v>21888</v>
      </c>
      <c r="H37" s="123"/>
      <c r="I37" s="35">
        <f>SUM(I32:I36)</f>
        <v>18.239999999999998</v>
      </c>
      <c r="J37" s="36">
        <f>SUM(J32:J36)</f>
        <v>1056</v>
      </c>
      <c r="K37" s="38">
        <f>SUM(K32:K36)</f>
        <v>4815.3599999999997</v>
      </c>
      <c r="L37" s="38">
        <f>SUM(L32:L36)</f>
        <v>45964.799999999996</v>
      </c>
      <c r="M37" s="123"/>
      <c r="N37" s="26"/>
    </row>
    <row r="38" spans="1:14" ht="11.25" customHeight="1" thickBot="1" x14ac:dyDescent="0.25">
      <c r="A38" s="123"/>
      <c r="B38" s="123"/>
      <c r="C38" s="123"/>
      <c r="D38" s="123"/>
      <c r="E38" s="123"/>
      <c r="F38" s="123"/>
      <c r="G38" s="123"/>
      <c r="H38" s="123"/>
      <c r="I38" s="123"/>
      <c r="J38" s="123"/>
      <c r="K38" s="123"/>
      <c r="L38" s="123"/>
      <c r="M38" s="123"/>
      <c r="N38" s="26"/>
    </row>
    <row r="39" spans="1:14" ht="27" customHeight="1" thickBot="1" x14ac:dyDescent="0.25">
      <c r="A39" s="123"/>
      <c r="B39" s="123"/>
      <c r="C39" s="133" t="str">
        <f>"Comments"</f>
        <v>Comments</v>
      </c>
      <c r="D39" s="134"/>
      <c r="E39" s="134"/>
      <c r="F39" s="134"/>
      <c r="G39" s="134"/>
      <c r="H39" s="134"/>
      <c r="I39" s="134"/>
      <c r="J39" s="134"/>
      <c r="K39" s="134"/>
      <c r="L39" s="135"/>
      <c r="M39" s="123"/>
      <c r="N39" s="26"/>
    </row>
    <row r="40" spans="1:14" ht="8.25" customHeight="1" x14ac:dyDescent="0.2">
      <c r="A40" s="123"/>
      <c r="B40" s="123"/>
      <c r="C40" s="123"/>
      <c r="D40" s="123"/>
      <c r="E40" s="123"/>
      <c r="F40" s="123"/>
      <c r="G40" s="123"/>
      <c r="H40" s="123"/>
      <c r="I40" s="123"/>
      <c r="J40" s="123"/>
      <c r="K40" s="123"/>
      <c r="L40" s="123"/>
      <c r="M40" s="123"/>
      <c r="N40" s="26"/>
    </row>
    <row r="41" spans="1:14" ht="20.25" thickBot="1" x14ac:dyDescent="0.35">
      <c r="A41" s="3" t="str">
        <f>C9</f>
        <v>Internal Labor</v>
      </c>
      <c r="B41" s="3"/>
      <c r="C41" s="3"/>
      <c r="D41" s="3"/>
      <c r="E41" s="3"/>
      <c r="F41" s="3"/>
      <c r="G41" s="3"/>
      <c r="H41" s="3"/>
      <c r="I41" s="3"/>
      <c r="J41" s="3"/>
      <c r="K41" s="3"/>
      <c r="L41" s="3"/>
      <c r="M41" s="123"/>
      <c r="N41" s="26"/>
    </row>
    <row r="42" spans="1:14" ht="27" customHeight="1" thickTop="1" thickBot="1" x14ac:dyDescent="0.25">
      <c r="A42" s="123"/>
      <c r="B42" s="137" t="s">
        <v>36</v>
      </c>
      <c r="C42" s="137"/>
      <c r="D42" s="137"/>
      <c r="E42" s="137"/>
      <c r="F42" s="137"/>
      <c r="G42" s="137"/>
      <c r="H42" s="137"/>
      <c r="I42" s="137"/>
      <c r="J42" s="137"/>
      <c r="K42" s="137"/>
      <c r="L42" s="137"/>
      <c r="M42" s="123"/>
      <c r="N42" s="26"/>
    </row>
    <row r="43" spans="1:14" ht="16.5" customHeight="1" thickBot="1" x14ac:dyDescent="0.3">
      <c r="A43" s="123"/>
      <c r="B43" s="123"/>
      <c r="C43" s="123"/>
      <c r="D43" s="138" t="s">
        <v>29</v>
      </c>
      <c r="E43" s="139"/>
      <c r="F43" s="139"/>
      <c r="G43" s="140"/>
      <c r="H43" s="136" t="s">
        <v>30</v>
      </c>
      <c r="I43" s="136"/>
      <c r="J43" s="136"/>
      <c r="K43" s="136"/>
      <c r="L43" s="5" t="s">
        <v>26</v>
      </c>
      <c r="M43" s="123"/>
      <c r="N43" s="26"/>
    </row>
    <row r="44" spans="1:14" ht="16.5" thickBot="1" x14ac:dyDescent="0.3">
      <c r="A44" s="123"/>
      <c r="B44" s="123"/>
      <c r="C44" s="122" t="s">
        <v>31</v>
      </c>
      <c r="D44" s="122" t="s">
        <v>32</v>
      </c>
      <c r="E44" s="122" t="s">
        <v>33</v>
      </c>
      <c r="F44" s="122" t="s">
        <v>34</v>
      </c>
      <c r="G44" s="5" t="s">
        <v>26</v>
      </c>
      <c r="H44" s="122" t="s">
        <v>32</v>
      </c>
      <c r="I44" s="122" t="s">
        <v>33</v>
      </c>
      <c r="J44" s="122" t="s">
        <v>34</v>
      </c>
      <c r="K44" s="5" t="s">
        <v>26</v>
      </c>
      <c r="L44" s="5"/>
      <c r="M44" s="123"/>
      <c r="N44" s="26"/>
    </row>
    <row r="45" spans="1:14" ht="15.75" thickBot="1" x14ac:dyDescent="0.25">
      <c r="A45" s="123"/>
      <c r="B45" s="123"/>
      <c r="C45" s="39" t="str">
        <f>"Planning &amp; Design"</f>
        <v>Planning &amp; Design</v>
      </c>
      <c r="D45" s="40" t="str">
        <f>"Person-Days"</f>
        <v>Person-Days</v>
      </c>
      <c r="E45" s="41">
        <f>Users/100</f>
        <v>4.5599999999999996</v>
      </c>
      <c r="F45" s="42">
        <f>100000/200</f>
        <v>500</v>
      </c>
      <c r="G45" s="34">
        <f t="shared" ref="G45:G51" si="8">E45*F45</f>
        <v>2280</v>
      </c>
      <c r="H45" s="40" t="str">
        <f>"FTEs"</f>
        <v>FTEs</v>
      </c>
      <c r="I45" s="47">
        <f>0</f>
        <v>0</v>
      </c>
      <c r="J45" s="42">
        <f>100000</f>
        <v>100000</v>
      </c>
      <c r="K45" s="32">
        <f t="shared" ref="K45:K51" si="9">I45*J45</f>
        <v>0</v>
      </c>
      <c r="L45" s="9">
        <f t="shared" ref="L45:L51" si="10">G45+K45*DurationYrs</f>
        <v>2280</v>
      </c>
      <c r="M45" s="123"/>
      <c r="N45" s="26"/>
    </row>
    <row r="46" spans="1:14" ht="15.75" thickBot="1" x14ac:dyDescent="0.25">
      <c r="A46" s="123"/>
      <c r="B46" s="123"/>
      <c r="C46" s="39" t="str">
        <f>"Implementation"</f>
        <v>Implementation</v>
      </c>
      <c r="D46" s="40" t="str">
        <f>"Person-Days"</f>
        <v>Person-Days</v>
      </c>
      <c r="E46" s="41">
        <f>E45*3</f>
        <v>13.68</v>
      </c>
      <c r="F46" s="42">
        <f>F45</f>
        <v>500</v>
      </c>
      <c r="G46" s="34">
        <f t="shared" si="8"/>
        <v>6840</v>
      </c>
      <c r="H46" s="40" t="str">
        <f>"FTEs"</f>
        <v>FTEs</v>
      </c>
      <c r="I46" s="47">
        <f>0</f>
        <v>0</v>
      </c>
      <c r="J46" s="42">
        <f>100000</f>
        <v>100000</v>
      </c>
      <c r="K46" s="32">
        <f t="shared" si="9"/>
        <v>0</v>
      </c>
      <c r="L46" s="9">
        <f t="shared" si="10"/>
        <v>6840</v>
      </c>
      <c r="M46" s="123"/>
      <c r="N46" s="26"/>
    </row>
    <row r="47" spans="1:14" ht="15.75" thickBot="1" x14ac:dyDescent="0.25">
      <c r="A47" s="123"/>
      <c r="B47" s="123"/>
      <c r="C47" s="39" t="str">
        <f>"Training"</f>
        <v>Training</v>
      </c>
      <c r="D47" s="40" t="str">
        <f>"Person-Days"</f>
        <v>Person-Days</v>
      </c>
      <c r="E47" s="41">
        <f>E45</f>
        <v>4.5599999999999996</v>
      </c>
      <c r="F47" s="42">
        <f t="shared" ref="F47:F48" si="11">F46</f>
        <v>500</v>
      </c>
      <c r="G47" s="34">
        <f t="shared" si="8"/>
        <v>2280</v>
      </c>
      <c r="H47" s="40" t="str">
        <f>"Person-Days"</f>
        <v>Person-Days</v>
      </c>
      <c r="I47" s="47">
        <f>E47/3</f>
        <v>1.5199999999999998</v>
      </c>
      <c r="J47" s="42">
        <f>F47</f>
        <v>500</v>
      </c>
      <c r="K47" s="32">
        <f t="shared" si="9"/>
        <v>759.99999999999989</v>
      </c>
      <c r="L47" s="9">
        <f t="shared" si="10"/>
        <v>6080</v>
      </c>
      <c r="M47" s="123"/>
      <c r="N47" s="26"/>
    </row>
    <row r="48" spans="1:14" ht="15.75" thickBot="1" x14ac:dyDescent="0.25">
      <c r="A48" s="123"/>
      <c r="B48" s="123"/>
      <c r="C48" s="39" t="str">
        <f>"Support"</f>
        <v>Support</v>
      </c>
      <c r="D48" s="40" t="str">
        <f>"Person-Days"</f>
        <v>Person-Days</v>
      </c>
      <c r="E48" s="41">
        <f>Users/1000</f>
        <v>0.45600000000000002</v>
      </c>
      <c r="F48" s="42">
        <f t="shared" si="11"/>
        <v>500</v>
      </c>
      <c r="G48" s="34">
        <f t="shared" si="8"/>
        <v>228</v>
      </c>
      <c r="H48" s="40" t="str">
        <f>"FTEs"</f>
        <v>FTEs</v>
      </c>
      <c r="I48" s="47">
        <f>Users/10000</f>
        <v>4.5600000000000002E-2</v>
      </c>
      <c r="J48" s="42">
        <f>100000</f>
        <v>100000</v>
      </c>
      <c r="K48" s="32">
        <f t="shared" si="9"/>
        <v>4560</v>
      </c>
      <c r="L48" s="9">
        <f t="shared" si="10"/>
        <v>23028</v>
      </c>
      <c r="M48" s="123"/>
      <c r="N48" s="26"/>
    </row>
    <row r="49" spans="1:14" ht="15.75" thickBot="1" x14ac:dyDescent="0.25">
      <c r="A49" s="123"/>
      <c r="B49" s="123"/>
      <c r="C49" s="39" t="str">
        <f>"Management / Maintenance"</f>
        <v>Management / Maintenance</v>
      </c>
      <c r="D49" s="40" t="str">
        <f>"Person-Days"</f>
        <v>Person-Days</v>
      </c>
      <c r="E49" s="41">
        <f>Users/1000</f>
        <v>0.45600000000000002</v>
      </c>
      <c r="F49" s="42">
        <f t="shared" ref="F49" si="12">F48</f>
        <v>500</v>
      </c>
      <c r="G49" s="34">
        <f t="shared" si="8"/>
        <v>228</v>
      </c>
      <c r="H49" s="40" t="str">
        <f>"FTEs"</f>
        <v>FTEs</v>
      </c>
      <c r="I49" s="47">
        <f>I48/2</f>
        <v>2.2800000000000001E-2</v>
      </c>
      <c r="J49" s="42">
        <f>100000</f>
        <v>100000</v>
      </c>
      <c r="K49" s="32">
        <f t="shared" si="9"/>
        <v>2280</v>
      </c>
      <c r="L49" s="9">
        <f t="shared" si="10"/>
        <v>11628</v>
      </c>
      <c r="M49" s="123"/>
      <c r="N49" s="26"/>
    </row>
    <row r="50" spans="1:14" ht="15.75" thickBot="1" x14ac:dyDescent="0.25">
      <c r="A50" s="123"/>
      <c r="B50" s="123"/>
      <c r="C50" s="39" t="str">
        <f>"User Training"</f>
        <v>User Training</v>
      </c>
      <c r="D50" s="40" t="str">
        <f>"Hours"</f>
        <v>Hours</v>
      </c>
      <c r="E50" s="41">
        <f>Users/4</f>
        <v>114</v>
      </c>
      <c r="F50" s="42">
        <f>F47</f>
        <v>500</v>
      </c>
      <c r="G50" s="34">
        <f t="shared" si="8"/>
        <v>57000</v>
      </c>
      <c r="H50" s="40" t="str">
        <f>"FTEs"</f>
        <v>FTEs</v>
      </c>
      <c r="I50" s="47">
        <f>E50</f>
        <v>114</v>
      </c>
      <c r="J50" s="42">
        <f>F50/4</f>
        <v>125</v>
      </c>
      <c r="K50" s="32">
        <f t="shared" si="9"/>
        <v>14250</v>
      </c>
      <c r="L50" s="9">
        <f t="shared" si="10"/>
        <v>128250</v>
      </c>
      <c r="M50" s="123"/>
      <c r="N50" s="26"/>
    </row>
    <row r="51" spans="1:14" ht="15.75" thickBot="1" x14ac:dyDescent="0.25">
      <c r="A51" s="123"/>
      <c r="B51" s="123"/>
      <c r="C51" s="43" t="str">
        <f>"Other"</f>
        <v>Other</v>
      </c>
      <c r="D51" s="44" t="str">
        <f>"Person-Days"</f>
        <v>Person-Days</v>
      </c>
      <c r="E51" s="45"/>
      <c r="F51" s="46">
        <f>F48</f>
        <v>500</v>
      </c>
      <c r="G51" s="34">
        <f t="shared" si="8"/>
        <v>0</v>
      </c>
      <c r="H51" s="44" t="str">
        <f>"FTEs"</f>
        <v>FTEs</v>
      </c>
      <c r="I51" s="48">
        <f>E51</f>
        <v>0</v>
      </c>
      <c r="J51" s="46">
        <f>100000</f>
        <v>100000</v>
      </c>
      <c r="K51" s="32">
        <f t="shared" si="9"/>
        <v>0</v>
      </c>
      <c r="L51" s="9">
        <f t="shared" si="10"/>
        <v>0</v>
      </c>
      <c r="M51" s="123"/>
      <c r="N51" s="26"/>
    </row>
    <row r="52" spans="1:14" ht="15.75" thickTop="1" x14ac:dyDescent="0.2">
      <c r="A52" s="123"/>
      <c r="B52" s="123"/>
      <c r="C52" s="33" t="s">
        <v>26</v>
      </c>
      <c r="D52" s="123"/>
      <c r="E52" s="35">
        <f>SUM(E45:E51)</f>
        <v>137.71199999999999</v>
      </c>
      <c r="F52" s="36">
        <f>SUM(F45:F51)</f>
        <v>3500</v>
      </c>
      <c r="G52" s="38">
        <f>SUM(G45:G51)</f>
        <v>68856</v>
      </c>
      <c r="H52" s="123"/>
      <c r="I52" s="37">
        <f>SUM(I45:I51)</f>
        <v>115.58839999999999</v>
      </c>
      <c r="J52" s="36">
        <f>SUM(J45:J51)</f>
        <v>500625</v>
      </c>
      <c r="K52" s="38">
        <f>SUM(K45:K51)</f>
        <v>21850</v>
      </c>
      <c r="L52" s="38">
        <f>SUM(L45:L51)</f>
        <v>178106</v>
      </c>
      <c r="M52" s="123"/>
      <c r="N52" s="26"/>
    </row>
    <row r="53" spans="1:14" ht="11.25" customHeight="1" thickBot="1" x14ac:dyDescent="0.25">
      <c r="A53" s="123"/>
      <c r="B53" s="123"/>
      <c r="C53" s="123"/>
      <c r="D53" s="123"/>
      <c r="E53" s="123"/>
      <c r="F53" s="123"/>
      <c r="G53" s="123"/>
      <c r="H53" s="123"/>
      <c r="I53" s="123"/>
      <c r="J53" s="123"/>
      <c r="K53" s="123"/>
      <c r="L53" s="123"/>
      <c r="M53" s="123"/>
      <c r="N53" s="26"/>
    </row>
    <row r="54" spans="1:14" ht="27" customHeight="1" thickBot="1" x14ac:dyDescent="0.25">
      <c r="A54" s="123"/>
      <c r="B54" s="123"/>
      <c r="C54" s="133" t="str">
        <f>"Comments"</f>
        <v>Comments</v>
      </c>
      <c r="D54" s="134"/>
      <c r="E54" s="134"/>
      <c r="F54" s="134"/>
      <c r="G54" s="134"/>
      <c r="H54" s="134"/>
      <c r="I54" s="134"/>
      <c r="J54" s="134"/>
      <c r="K54" s="134"/>
      <c r="L54" s="135"/>
      <c r="M54" s="123"/>
      <c r="N54" s="26"/>
    </row>
    <row r="55" spans="1:14" ht="8.25" customHeight="1" x14ac:dyDescent="0.2">
      <c r="A55" s="123"/>
      <c r="B55" s="123"/>
      <c r="C55" s="123"/>
      <c r="D55" s="123"/>
      <c r="E55" s="123"/>
      <c r="F55" s="123"/>
      <c r="G55" s="123"/>
      <c r="H55" s="123"/>
      <c r="I55" s="123"/>
      <c r="J55" s="123"/>
      <c r="K55" s="123"/>
      <c r="L55" s="123"/>
      <c r="M55" s="123"/>
      <c r="N55" s="26"/>
    </row>
    <row r="56" spans="1:14" ht="20.25" thickBot="1" x14ac:dyDescent="0.35">
      <c r="A56" s="3" t="str">
        <f>C10</f>
        <v>3rd Party Services</v>
      </c>
      <c r="B56" s="3"/>
      <c r="C56" s="3"/>
      <c r="D56" s="3"/>
      <c r="E56" s="3"/>
      <c r="F56" s="3"/>
      <c r="G56" s="3"/>
      <c r="H56" s="3"/>
      <c r="I56" s="3"/>
      <c r="J56" s="3"/>
      <c r="K56" s="3"/>
      <c r="L56" s="3"/>
      <c r="M56" s="123"/>
      <c r="N56" s="26"/>
    </row>
    <row r="57" spans="1:14" ht="24.75" customHeight="1" thickTop="1" thickBot="1" x14ac:dyDescent="0.25">
      <c r="A57" s="123"/>
      <c r="B57" s="137" t="s">
        <v>37</v>
      </c>
      <c r="C57" s="137"/>
      <c r="D57" s="137"/>
      <c r="E57" s="137"/>
      <c r="F57" s="137"/>
      <c r="G57" s="137"/>
      <c r="H57" s="137"/>
      <c r="I57" s="123"/>
      <c r="J57" s="123"/>
      <c r="K57" s="123"/>
      <c r="L57" s="123"/>
      <c r="M57" s="123"/>
      <c r="N57" s="26"/>
    </row>
    <row r="58" spans="1:14" ht="16.5" customHeight="1" thickBot="1" x14ac:dyDescent="0.3">
      <c r="A58" s="123"/>
      <c r="B58" s="123"/>
      <c r="C58" s="123"/>
      <c r="D58" s="138" t="s">
        <v>29</v>
      </c>
      <c r="E58" s="139"/>
      <c r="F58" s="139"/>
      <c r="G58" s="140"/>
      <c r="H58" s="136" t="s">
        <v>30</v>
      </c>
      <c r="I58" s="136"/>
      <c r="J58" s="136"/>
      <c r="K58" s="136"/>
      <c r="L58" s="5" t="s">
        <v>26</v>
      </c>
      <c r="M58" s="123"/>
      <c r="N58" s="26"/>
    </row>
    <row r="59" spans="1:14" ht="16.5" thickBot="1" x14ac:dyDescent="0.3">
      <c r="A59" s="123"/>
      <c r="B59" s="123"/>
      <c r="C59" s="122" t="s">
        <v>31</v>
      </c>
      <c r="D59" s="122" t="s">
        <v>32</v>
      </c>
      <c r="E59" s="122" t="s">
        <v>33</v>
      </c>
      <c r="F59" s="122" t="s">
        <v>34</v>
      </c>
      <c r="G59" s="5" t="s">
        <v>26</v>
      </c>
      <c r="H59" s="122" t="s">
        <v>32</v>
      </c>
      <c r="I59" s="122" t="s">
        <v>33</v>
      </c>
      <c r="J59" s="122" t="s">
        <v>34</v>
      </c>
      <c r="K59" s="5" t="s">
        <v>26</v>
      </c>
      <c r="L59" s="5"/>
      <c r="M59" s="123"/>
      <c r="N59" s="26"/>
    </row>
    <row r="60" spans="1:14" ht="15.75" thickBot="1" x14ac:dyDescent="0.25">
      <c r="A60" s="123"/>
      <c r="B60" s="123"/>
      <c r="C60" s="39" t="str">
        <f>"Consulting"</f>
        <v>Consulting</v>
      </c>
      <c r="D60" s="40" t="str">
        <f>"Person-Days"</f>
        <v>Person-Days</v>
      </c>
      <c r="E60" s="41">
        <f>Users/100</f>
        <v>4.5599999999999996</v>
      </c>
      <c r="F60" s="42">
        <f>200*8</f>
        <v>1600</v>
      </c>
      <c r="G60" s="34">
        <f>E60*F60</f>
        <v>7295.9999999999991</v>
      </c>
      <c r="H60" s="40" t="str">
        <f>"Person-Days"</f>
        <v>Person-Days</v>
      </c>
      <c r="I60" s="41">
        <f>E60/5</f>
        <v>0.91199999999999992</v>
      </c>
      <c r="J60" s="42">
        <f>200*8</f>
        <v>1600</v>
      </c>
      <c r="K60" s="32">
        <f t="shared" ref="K60:K64" si="13">I60*J60</f>
        <v>1459.1999999999998</v>
      </c>
      <c r="L60" s="9">
        <f>G60+K60*DurationYrs</f>
        <v>14591.999999999998</v>
      </c>
      <c r="M60" s="123"/>
      <c r="N60" s="26"/>
    </row>
    <row r="61" spans="1:14" ht="15.75" thickBot="1" x14ac:dyDescent="0.25">
      <c r="A61" s="123"/>
      <c r="B61" s="123"/>
      <c r="C61" s="39" t="str">
        <f>"Hosting"</f>
        <v>Hosting</v>
      </c>
      <c r="D61" s="40" t="str">
        <f>"CPUs"</f>
        <v>CPUs</v>
      </c>
      <c r="E61" s="41">
        <f>Users/300</f>
        <v>1.52</v>
      </c>
      <c r="F61" s="42">
        <f>1000</f>
        <v>1000</v>
      </c>
      <c r="G61" s="34">
        <f>E61*F61</f>
        <v>1520</v>
      </c>
      <c r="H61" s="40" t="str">
        <f>"CPUs"</f>
        <v>CPUs</v>
      </c>
      <c r="I61" s="41">
        <f>E61</f>
        <v>1.52</v>
      </c>
      <c r="J61" s="42">
        <f>1000</f>
        <v>1000</v>
      </c>
      <c r="K61" s="32">
        <f t="shared" si="13"/>
        <v>1520</v>
      </c>
      <c r="L61" s="9">
        <f>G61+K61*DurationYrs</f>
        <v>9120</v>
      </c>
      <c r="M61" s="123"/>
      <c r="N61" s="26"/>
    </row>
    <row r="62" spans="1:14" ht="15.75" thickBot="1" x14ac:dyDescent="0.25">
      <c r="A62" s="123"/>
      <c r="B62" s="123"/>
      <c r="C62" s="39" t="str">
        <f>"Additional Bandwidth"</f>
        <v>Additional Bandwidth</v>
      </c>
      <c r="D62" s="40"/>
      <c r="E62" s="41"/>
      <c r="F62" s="42"/>
      <c r="G62" s="34">
        <f>E62*F62</f>
        <v>0</v>
      </c>
      <c r="H62" s="40" t="str">
        <f>"Locations"</f>
        <v>Locations</v>
      </c>
      <c r="I62" s="41">
        <f>Users/100</f>
        <v>4.5599999999999996</v>
      </c>
      <c r="J62" s="42">
        <f>1000</f>
        <v>1000</v>
      </c>
      <c r="K62" s="32">
        <f>I62*J62</f>
        <v>4560</v>
      </c>
      <c r="L62" s="9">
        <f>G62+K62*DurationYrs</f>
        <v>22800</v>
      </c>
      <c r="M62" s="123"/>
      <c r="N62" s="26"/>
    </row>
    <row r="63" spans="1:14" ht="15.75" thickBot="1" x14ac:dyDescent="0.25">
      <c r="A63" s="123"/>
      <c r="B63" s="123"/>
      <c r="C63" s="39" t="str">
        <f>"Other"</f>
        <v>Other</v>
      </c>
      <c r="D63" s="40"/>
      <c r="E63" s="41"/>
      <c r="F63" s="42"/>
      <c r="G63" s="34">
        <f>E63*F63</f>
        <v>0</v>
      </c>
      <c r="H63" s="40"/>
      <c r="I63" s="41">
        <f>E63</f>
        <v>0</v>
      </c>
      <c r="J63" s="42">
        <f>F63*0.22</f>
        <v>0</v>
      </c>
      <c r="K63" s="32">
        <f t="shared" si="13"/>
        <v>0</v>
      </c>
      <c r="L63" s="9">
        <f>G63+K63*DurationYrs</f>
        <v>0</v>
      </c>
      <c r="M63" s="123"/>
      <c r="N63" s="26"/>
    </row>
    <row r="64" spans="1:14" ht="15.75" thickBot="1" x14ac:dyDescent="0.25">
      <c r="A64" s="123"/>
      <c r="B64" s="123"/>
      <c r="C64" s="43" t="str">
        <f>"Other"</f>
        <v>Other</v>
      </c>
      <c r="D64" s="44"/>
      <c r="E64" s="45"/>
      <c r="F64" s="46"/>
      <c r="G64" s="34">
        <f>E64*F64</f>
        <v>0</v>
      </c>
      <c r="H64" s="44"/>
      <c r="I64" s="45">
        <f>E64</f>
        <v>0</v>
      </c>
      <c r="J64" s="46">
        <f>F64*0.22</f>
        <v>0</v>
      </c>
      <c r="K64" s="32">
        <f t="shared" si="13"/>
        <v>0</v>
      </c>
      <c r="L64" s="9">
        <f>G64+K64*DurationYrs</f>
        <v>0</v>
      </c>
      <c r="M64" s="123"/>
      <c r="N64" s="26"/>
    </row>
    <row r="65" spans="1:14" ht="15.75" thickTop="1" x14ac:dyDescent="0.2">
      <c r="A65" s="123"/>
      <c r="B65" s="123"/>
      <c r="C65" s="33" t="s">
        <v>26</v>
      </c>
      <c r="D65" s="123"/>
      <c r="E65" s="35">
        <f>SUM(E60:E64)</f>
        <v>6.08</v>
      </c>
      <c r="F65" s="36">
        <f>SUM(F60:F64)</f>
        <v>2600</v>
      </c>
      <c r="G65" s="38">
        <f>SUM(G60:G64)</f>
        <v>8816</v>
      </c>
      <c r="H65" s="123"/>
      <c r="I65" s="35">
        <f>SUM(I60:I64)</f>
        <v>6.9919999999999991</v>
      </c>
      <c r="J65" s="36">
        <f>SUM(J60:J64)</f>
        <v>3600</v>
      </c>
      <c r="K65" s="38">
        <f>SUM(K60:K64)</f>
        <v>7539.2</v>
      </c>
      <c r="L65" s="38">
        <f>SUM(L60:L64)</f>
        <v>46512</v>
      </c>
      <c r="M65" s="123"/>
      <c r="N65" s="26"/>
    </row>
    <row r="66" spans="1:14" ht="11.25" customHeight="1" thickBot="1" x14ac:dyDescent="0.25">
      <c r="A66" s="123"/>
      <c r="B66" s="123"/>
      <c r="C66" s="123"/>
      <c r="D66" s="123"/>
      <c r="E66" s="123"/>
      <c r="F66" s="123"/>
      <c r="G66" s="123"/>
      <c r="H66" s="123"/>
      <c r="I66" s="123"/>
      <c r="J66" s="123"/>
      <c r="K66" s="123"/>
      <c r="L66" s="123"/>
      <c r="M66" s="123"/>
      <c r="N66" s="26"/>
    </row>
    <row r="67" spans="1:14" ht="27" customHeight="1" thickBot="1" x14ac:dyDescent="0.25">
      <c r="A67" s="123"/>
      <c r="B67" s="123"/>
      <c r="C67" s="133" t="str">
        <f>"Comments"</f>
        <v>Comments</v>
      </c>
      <c r="D67" s="134"/>
      <c r="E67" s="134"/>
      <c r="F67" s="134"/>
      <c r="G67" s="134"/>
      <c r="H67" s="134"/>
      <c r="I67" s="134"/>
      <c r="J67" s="134"/>
      <c r="K67" s="134"/>
      <c r="L67" s="135"/>
      <c r="M67" s="123"/>
      <c r="N67" s="26"/>
    </row>
    <row r="68" spans="1:14" ht="8.25" customHeight="1" x14ac:dyDescent="0.2">
      <c r="A68" s="123"/>
      <c r="B68" s="123"/>
      <c r="C68" s="123"/>
      <c r="D68" s="123"/>
      <c r="E68" s="123"/>
      <c r="F68" s="123"/>
      <c r="G68" s="123"/>
      <c r="H68" s="123"/>
      <c r="I68" s="123"/>
      <c r="J68" s="123"/>
      <c r="K68" s="123"/>
      <c r="L68" s="123"/>
      <c r="M68" s="123"/>
      <c r="N68" s="26"/>
    </row>
    <row r="69" spans="1:14" x14ac:dyDescent="0.2">
      <c r="A69" s="123"/>
      <c r="B69" s="123"/>
      <c r="C69" s="123"/>
      <c r="D69" s="123"/>
      <c r="E69" s="123"/>
      <c r="F69" s="123"/>
      <c r="G69" s="123"/>
      <c r="H69" s="123"/>
      <c r="I69" s="123"/>
      <c r="J69" s="123"/>
      <c r="K69" s="123"/>
      <c r="L69" s="123"/>
      <c r="M69" s="123"/>
      <c r="N69" s="26"/>
    </row>
    <row r="70" spans="1:14" x14ac:dyDescent="0.2">
      <c r="A70" s="123"/>
      <c r="B70" s="31" t="str">
        <f>Start!$B$27</f>
        <v>© AnalysisPlace</v>
      </c>
      <c r="C70" s="123"/>
      <c r="D70" s="123"/>
      <c r="E70" s="123"/>
      <c r="F70" s="123"/>
      <c r="G70" s="123"/>
      <c r="H70" s="123"/>
      <c r="I70" s="123"/>
      <c r="J70" s="123"/>
      <c r="K70" s="123"/>
      <c r="L70" s="123"/>
      <c r="M70" s="123"/>
      <c r="N70" s="26"/>
    </row>
    <row r="71" spans="1:14" ht="6.75" customHeight="1" x14ac:dyDescent="0.2">
      <c r="A71" s="26" t="s">
        <v>0</v>
      </c>
      <c r="B71" s="26"/>
      <c r="C71" s="26"/>
      <c r="D71" s="26"/>
      <c r="E71" s="26"/>
      <c r="F71" s="26"/>
      <c r="G71" s="26"/>
      <c r="H71" s="26"/>
      <c r="I71" s="26"/>
      <c r="J71" s="26"/>
      <c r="K71" s="26"/>
      <c r="L71" s="26"/>
      <c r="M71" s="26"/>
      <c r="N71" s="26"/>
    </row>
  </sheetData>
  <mergeCells count="19">
    <mergeCell ref="C67:L67"/>
    <mergeCell ref="D58:G58"/>
    <mergeCell ref="D43:G43"/>
    <mergeCell ref="D15:G15"/>
    <mergeCell ref="H58:K58"/>
    <mergeCell ref="B57:H57"/>
    <mergeCell ref="B3:H3"/>
    <mergeCell ref="C26:L26"/>
    <mergeCell ref="C39:L39"/>
    <mergeCell ref="C54:L54"/>
    <mergeCell ref="H30:K30"/>
    <mergeCell ref="H15:K15"/>
    <mergeCell ref="H43:K43"/>
    <mergeCell ref="B29:H29"/>
    <mergeCell ref="D30:G30"/>
    <mergeCell ref="B14:H14"/>
    <mergeCell ref="B5:F5"/>
    <mergeCell ref="B42:J42"/>
    <mergeCell ref="K42:L42"/>
  </mergeCells>
  <conditionalFormatting sqref="C7">
    <cfRule type="expression" dxfId="351" priority="212">
      <formula>_xlfn.ISFORMULA($C$7)</formula>
    </cfRule>
  </conditionalFormatting>
  <conditionalFormatting sqref="C8">
    <cfRule type="expression" dxfId="350" priority="211">
      <formula>_xlfn.ISFORMULA($C$8)</formula>
    </cfRule>
  </conditionalFormatting>
  <conditionalFormatting sqref="C9">
    <cfRule type="expression" dxfId="349" priority="210">
      <formula>_xlfn.ISFORMULA($C$9)</formula>
    </cfRule>
  </conditionalFormatting>
  <conditionalFormatting sqref="C10">
    <cfRule type="expression" dxfId="348" priority="209">
      <formula>_xlfn.ISFORMULA($C$10)</formula>
    </cfRule>
  </conditionalFormatting>
  <conditionalFormatting sqref="C17">
    <cfRule type="expression" dxfId="347" priority="208">
      <formula>_xlfn.ISFORMULA($C$17)</formula>
    </cfRule>
  </conditionalFormatting>
  <conditionalFormatting sqref="C18">
    <cfRule type="expression" dxfId="346" priority="201">
      <formula>_xlfn.ISFORMULA($C$18)</formula>
    </cfRule>
  </conditionalFormatting>
  <conditionalFormatting sqref="C19">
    <cfRule type="expression" dxfId="345" priority="194">
      <formula>_xlfn.ISFORMULA($C$19)</formula>
    </cfRule>
  </conditionalFormatting>
  <conditionalFormatting sqref="C20">
    <cfRule type="expression" dxfId="344" priority="187">
      <formula>_xlfn.ISFORMULA($C$20)</formula>
    </cfRule>
  </conditionalFormatting>
  <conditionalFormatting sqref="C21">
    <cfRule type="expression" dxfId="343" priority="180">
      <formula>_xlfn.ISFORMULA($C$21)</formula>
    </cfRule>
  </conditionalFormatting>
  <conditionalFormatting sqref="C22">
    <cfRule type="expression" dxfId="342" priority="173">
      <formula>_xlfn.ISFORMULA($C$22)</formula>
    </cfRule>
  </conditionalFormatting>
  <conditionalFormatting sqref="C23">
    <cfRule type="expression" dxfId="341" priority="166">
      <formula>_xlfn.ISFORMULA($C$23)</formula>
    </cfRule>
  </conditionalFormatting>
  <conditionalFormatting sqref="C26">
    <cfRule type="expression" dxfId="340" priority="159">
      <formula>_xlfn.ISFORMULA($C$26)</formula>
    </cfRule>
  </conditionalFormatting>
  <conditionalFormatting sqref="C32">
    <cfRule type="expression" dxfId="339" priority="149">
      <formula>_xlfn.ISFORMULA($C$32)</formula>
    </cfRule>
  </conditionalFormatting>
  <conditionalFormatting sqref="C33">
    <cfRule type="expression" dxfId="338" priority="142">
      <formula>_xlfn.ISFORMULA($C$33)</formula>
    </cfRule>
  </conditionalFormatting>
  <conditionalFormatting sqref="C34">
    <cfRule type="expression" dxfId="337" priority="135">
      <formula>_xlfn.ISFORMULA($C$34)</formula>
    </cfRule>
  </conditionalFormatting>
  <conditionalFormatting sqref="C35">
    <cfRule type="expression" dxfId="336" priority="128">
      <formula>_xlfn.ISFORMULA($C$35)</formula>
    </cfRule>
  </conditionalFormatting>
  <conditionalFormatting sqref="C36">
    <cfRule type="expression" dxfId="335" priority="121">
      <formula>_xlfn.ISFORMULA($C$36)</formula>
    </cfRule>
  </conditionalFormatting>
  <conditionalFormatting sqref="C39">
    <cfRule type="expression" dxfId="334" priority="114">
      <formula>_xlfn.ISFORMULA($C$39)</formula>
    </cfRule>
  </conditionalFormatting>
  <conditionalFormatting sqref="C45">
    <cfRule type="expression" dxfId="333" priority="104">
      <formula>_xlfn.ISFORMULA($C$45)</formula>
    </cfRule>
  </conditionalFormatting>
  <conditionalFormatting sqref="C46">
    <cfRule type="expression" dxfId="332" priority="97">
      <formula>_xlfn.ISFORMULA($C$46)</formula>
    </cfRule>
  </conditionalFormatting>
  <conditionalFormatting sqref="C47">
    <cfRule type="expression" dxfId="331" priority="90">
      <formula>_xlfn.ISFORMULA($C$47)</formula>
    </cfRule>
  </conditionalFormatting>
  <conditionalFormatting sqref="C48">
    <cfRule type="expression" dxfId="330" priority="83">
      <formula>_xlfn.ISFORMULA($C$48)</formula>
    </cfRule>
  </conditionalFormatting>
  <conditionalFormatting sqref="C49">
    <cfRule type="expression" dxfId="329" priority="76">
      <formula>_xlfn.ISFORMULA($C$49)</formula>
    </cfRule>
  </conditionalFormatting>
  <conditionalFormatting sqref="C50">
    <cfRule type="expression" dxfId="328" priority="69">
      <formula>_xlfn.ISFORMULA($C$50)</formula>
    </cfRule>
  </conditionalFormatting>
  <conditionalFormatting sqref="C51">
    <cfRule type="expression" dxfId="327" priority="62">
      <formula>_xlfn.ISFORMULA($C$51)</formula>
    </cfRule>
  </conditionalFormatting>
  <conditionalFormatting sqref="C54">
    <cfRule type="expression" dxfId="326" priority="55">
      <formula>_xlfn.ISFORMULA($C$54)</formula>
    </cfRule>
  </conditionalFormatting>
  <conditionalFormatting sqref="C60">
    <cfRule type="expression" dxfId="325" priority="45">
      <formula>_xlfn.ISFORMULA($C$60)</formula>
    </cfRule>
  </conditionalFormatting>
  <conditionalFormatting sqref="C61">
    <cfRule type="expression" dxfId="324" priority="38">
      <formula>_xlfn.ISFORMULA($C$61)</formula>
    </cfRule>
  </conditionalFormatting>
  <conditionalFormatting sqref="C62">
    <cfRule type="expression" dxfId="323" priority="31">
      <formula>_xlfn.ISFORMULA($C$62)</formula>
    </cfRule>
  </conditionalFormatting>
  <conditionalFormatting sqref="C63">
    <cfRule type="expression" dxfId="322" priority="24">
      <formula>_xlfn.ISFORMULA($C$63)</formula>
    </cfRule>
  </conditionalFormatting>
  <conditionalFormatting sqref="C64">
    <cfRule type="expression" dxfId="321" priority="17">
      <formula>_xlfn.ISFORMULA($C$64)</formula>
    </cfRule>
  </conditionalFormatting>
  <conditionalFormatting sqref="C67">
    <cfRule type="expression" dxfId="320" priority="10">
      <formula>_xlfn.ISFORMULA($C$67)</formula>
    </cfRule>
  </conditionalFormatting>
  <conditionalFormatting sqref="D17">
    <cfRule type="expression" dxfId="319" priority="207">
      <formula>_xlfn.ISFORMULA($D$17)</formula>
    </cfRule>
  </conditionalFormatting>
  <conditionalFormatting sqref="D18">
    <cfRule type="expression" dxfId="318" priority="200">
      <formula>_xlfn.ISFORMULA($D$18)</formula>
    </cfRule>
  </conditionalFormatting>
  <conditionalFormatting sqref="D19">
    <cfRule type="expression" dxfId="317" priority="193">
      <formula>_xlfn.ISFORMULA($D$19)</formula>
    </cfRule>
  </conditionalFormatting>
  <conditionalFormatting sqref="D20">
    <cfRule type="expression" dxfId="316" priority="186">
      <formula>_xlfn.ISFORMULA($D$20)</formula>
    </cfRule>
  </conditionalFormatting>
  <conditionalFormatting sqref="D21">
    <cfRule type="expression" dxfId="315" priority="179">
      <formula>_xlfn.ISFORMULA($D$21)</formula>
    </cfRule>
  </conditionalFormatting>
  <conditionalFormatting sqref="D22">
    <cfRule type="expression" dxfId="314" priority="172">
      <formula>_xlfn.ISFORMULA($D$22)</formula>
    </cfRule>
  </conditionalFormatting>
  <conditionalFormatting sqref="D23">
    <cfRule type="expression" dxfId="313" priority="165">
      <formula>_xlfn.ISFORMULA($D$23)</formula>
    </cfRule>
  </conditionalFormatting>
  <conditionalFormatting sqref="D26">
    <cfRule type="expression" dxfId="312" priority="158">
      <formula>_xlfn.ISFORMULA($D$26)</formula>
    </cfRule>
  </conditionalFormatting>
  <conditionalFormatting sqref="D32">
    <cfRule type="expression" dxfId="311" priority="148">
      <formula>_xlfn.ISFORMULA($D$32)</formula>
    </cfRule>
  </conditionalFormatting>
  <conditionalFormatting sqref="D33">
    <cfRule type="expression" dxfId="310" priority="141">
      <formula>_xlfn.ISFORMULA($D$33)</formula>
    </cfRule>
  </conditionalFormatting>
  <conditionalFormatting sqref="D34">
    <cfRule type="expression" dxfId="309" priority="134">
      <formula>_xlfn.ISFORMULA($D$34)</formula>
    </cfRule>
  </conditionalFormatting>
  <conditionalFormatting sqref="D35">
    <cfRule type="expression" dxfId="308" priority="127">
      <formula>_xlfn.ISFORMULA($D$35)</formula>
    </cfRule>
  </conditionalFormatting>
  <conditionalFormatting sqref="D36">
    <cfRule type="expression" dxfId="307" priority="120">
      <formula>_xlfn.ISFORMULA($D$36)</formula>
    </cfRule>
  </conditionalFormatting>
  <conditionalFormatting sqref="D39">
    <cfRule type="expression" dxfId="306" priority="113">
      <formula>_xlfn.ISFORMULA($D$39)</formula>
    </cfRule>
  </conditionalFormatting>
  <conditionalFormatting sqref="D45">
    <cfRule type="expression" dxfId="305" priority="103">
      <formula>_xlfn.ISFORMULA($D$45)</formula>
    </cfRule>
  </conditionalFormatting>
  <conditionalFormatting sqref="D46">
    <cfRule type="expression" dxfId="304" priority="96">
      <formula>_xlfn.ISFORMULA($D$46)</formula>
    </cfRule>
  </conditionalFormatting>
  <conditionalFormatting sqref="D47">
    <cfRule type="expression" dxfId="303" priority="89">
      <formula>_xlfn.ISFORMULA($D$47)</formula>
    </cfRule>
  </conditionalFormatting>
  <conditionalFormatting sqref="D48">
    <cfRule type="expression" dxfId="302" priority="82">
      <formula>_xlfn.ISFORMULA($D$48)</formula>
    </cfRule>
  </conditionalFormatting>
  <conditionalFormatting sqref="D49">
    <cfRule type="expression" dxfId="301" priority="75">
      <formula>_xlfn.ISFORMULA($D$49)</formula>
    </cfRule>
  </conditionalFormatting>
  <conditionalFormatting sqref="D50">
    <cfRule type="expression" dxfId="300" priority="68">
      <formula>_xlfn.ISFORMULA($D$50)</formula>
    </cfRule>
  </conditionalFormatting>
  <conditionalFormatting sqref="D51">
    <cfRule type="expression" dxfId="299" priority="61">
      <formula>_xlfn.ISFORMULA($D$51)</formula>
    </cfRule>
  </conditionalFormatting>
  <conditionalFormatting sqref="D54">
    <cfRule type="expression" dxfId="298" priority="54">
      <formula>_xlfn.ISFORMULA($D$54)</formula>
    </cfRule>
  </conditionalFormatting>
  <conditionalFormatting sqref="D60">
    <cfRule type="expression" dxfId="297" priority="44">
      <formula>_xlfn.ISFORMULA($D$60)</formula>
    </cfRule>
  </conditionalFormatting>
  <conditionalFormatting sqref="D61">
    <cfRule type="expression" dxfId="296" priority="37">
      <formula>_xlfn.ISFORMULA($D$61)</formula>
    </cfRule>
  </conditionalFormatting>
  <conditionalFormatting sqref="D62">
    <cfRule type="expression" dxfId="295" priority="30">
      <formula>_xlfn.ISFORMULA($D$62)</formula>
    </cfRule>
  </conditionalFormatting>
  <conditionalFormatting sqref="D63">
    <cfRule type="expression" dxfId="294" priority="23">
      <formula>_xlfn.ISFORMULA($D$63)</formula>
    </cfRule>
  </conditionalFormatting>
  <conditionalFormatting sqref="D64">
    <cfRule type="expression" dxfId="293" priority="16">
      <formula>_xlfn.ISFORMULA($D$64)</formula>
    </cfRule>
  </conditionalFormatting>
  <conditionalFormatting sqref="D67">
    <cfRule type="expression" dxfId="292" priority="9">
      <formula>_xlfn.ISFORMULA($D$67)</formula>
    </cfRule>
  </conditionalFormatting>
  <conditionalFormatting sqref="E17">
    <cfRule type="expression" dxfId="291" priority="206">
      <formula>_xlfn.ISFORMULA($E$17)</formula>
    </cfRule>
  </conditionalFormatting>
  <conditionalFormatting sqref="E18">
    <cfRule type="expression" dxfId="290" priority="199">
      <formula>_xlfn.ISFORMULA($E$18)</formula>
    </cfRule>
  </conditionalFormatting>
  <conditionalFormatting sqref="E19">
    <cfRule type="expression" dxfId="289" priority="192">
      <formula>_xlfn.ISFORMULA($E$19)</formula>
    </cfRule>
  </conditionalFormatting>
  <conditionalFormatting sqref="E20">
    <cfRule type="expression" dxfId="288" priority="185">
      <formula>_xlfn.ISFORMULA($E$20)</formula>
    </cfRule>
  </conditionalFormatting>
  <conditionalFormatting sqref="E21">
    <cfRule type="expression" dxfId="287" priority="178">
      <formula>_xlfn.ISFORMULA($E$21)</formula>
    </cfRule>
  </conditionalFormatting>
  <conditionalFormatting sqref="E22">
    <cfRule type="expression" dxfId="286" priority="171">
      <formula>_xlfn.ISFORMULA($E$22)</formula>
    </cfRule>
  </conditionalFormatting>
  <conditionalFormatting sqref="E23">
    <cfRule type="expression" dxfId="285" priority="164">
      <formula>_xlfn.ISFORMULA($E$23)</formula>
    </cfRule>
  </conditionalFormatting>
  <conditionalFormatting sqref="E26">
    <cfRule type="expression" dxfId="284" priority="157">
      <formula>_xlfn.ISFORMULA($E$26)</formula>
    </cfRule>
  </conditionalFormatting>
  <conditionalFormatting sqref="E32">
    <cfRule type="expression" dxfId="283" priority="147">
      <formula>_xlfn.ISFORMULA($E$32)</formula>
    </cfRule>
  </conditionalFormatting>
  <conditionalFormatting sqref="E33">
    <cfRule type="expression" dxfId="282" priority="140">
      <formula>_xlfn.ISFORMULA($E$33)</formula>
    </cfRule>
  </conditionalFormatting>
  <conditionalFormatting sqref="E34">
    <cfRule type="expression" dxfId="281" priority="133">
      <formula>_xlfn.ISFORMULA($E$34)</formula>
    </cfRule>
  </conditionalFormatting>
  <conditionalFormatting sqref="E35">
    <cfRule type="expression" dxfId="280" priority="126">
      <formula>_xlfn.ISFORMULA($E$35)</formula>
    </cfRule>
  </conditionalFormatting>
  <conditionalFormatting sqref="E36">
    <cfRule type="expression" dxfId="279" priority="119">
      <formula>_xlfn.ISFORMULA($E$36)</formula>
    </cfRule>
  </conditionalFormatting>
  <conditionalFormatting sqref="E39">
    <cfRule type="expression" dxfId="278" priority="112">
      <formula>_xlfn.ISFORMULA($E$39)</formula>
    </cfRule>
  </conditionalFormatting>
  <conditionalFormatting sqref="E45">
    <cfRule type="expression" dxfId="277" priority="102">
      <formula>_xlfn.ISFORMULA($E$45)</formula>
    </cfRule>
  </conditionalFormatting>
  <conditionalFormatting sqref="E46">
    <cfRule type="expression" dxfId="276" priority="95">
      <formula>_xlfn.ISFORMULA($E$46)</formula>
    </cfRule>
  </conditionalFormatting>
  <conditionalFormatting sqref="E47">
    <cfRule type="expression" dxfId="275" priority="88">
      <formula>_xlfn.ISFORMULA($E$47)</formula>
    </cfRule>
  </conditionalFormatting>
  <conditionalFormatting sqref="E48">
    <cfRule type="expression" dxfId="274" priority="81">
      <formula>_xlfn.ISFORMULA($E$48)</formula>
    </cfRule>
  </conditionalFormatting>
  <conditionalFormatting sqref="E49">
    <cfRule type="expression" dxfId="273" priority="74">
      <formula>_xlfn.ISFORMULA($E$49)</formula>
    </cfRule>
  </conditionalFormatting>
  <conditionalFormatting sqref="E50">
    <cfRule type="expression" dxfId="272" priority="67">
      <formula>_xlfn.ISFORMULA($E$50)</formula>
    </cfRule>
  </conditionalFormatting>
  <conditionalFormatting sqref="E51">
    <cfRule type="expression" dxfId="271" priority="60">
      <formula>_xlfn.ISFORMULA($E$51)</formula>
    </cfRule>
  </conditionalFormatting>
  <conditionalFormatting sqref="E54">
    <cfRule type="expression" dxfId="270" priority="53">
      <formula>_xlfn.ISFORMULA($E$54)</formula>
    </cfRule>
  </conditionalFormatting>
  <conditionalFormatting sqref="E60">
    <cfRule type="expression" dxfId="269" priority="43">
      <formula>_xlfn.ISFORMULA($E$60)</formula>
    </cfRule>
  </conditionalFormatting>
  <conditionalFormatting sqref="E61">
    <cfRule type="expression" dxfId="268" priority="36">
      <formula>_xlfn.ISFORMULA($E$61)</formula>
    </cfRule>
  </conditionalFormatting>
  <conditionalFormatting sqref="E62">
    <cfRule type="expression" dxfId="267" priority="29">
      <formula>_xlfn.ISFORMULA($E$62)</formula>
    </cfRule>
  </conditionalFormatting>
  <conditionalFormatting sqref="E63">
    <cfRule type="expression" dxfId="266" priority="22">
      <formula>_xlfn.ISFORMULA($E$63)</formula>
    </cfRule>
  </conditionalFormatting>
  <conditionalFormatting sqref="E64">
    <cfRule type="expression" dxfId="265" priority="15">
      <formula>_xlfn.ISFORMULA($E$64)</formula>
    </cfRule>
  </conditionalFormatting>
  <conditionalFormatting sqref="E67">
    <cfRule type="expression" dxfId="264" priority="8">
      <formula>_xlfn.ISFORMULA($E$67)</formula>
    </cfRule>
  </conditionalFormatting>
  <conditionalFormatting sqref="F17">
    <cfRule type="expression" dxfId="263" priority="205">
      <formula>_xlfn.ISFORMULA($F$17)</formula>
    </cfRule>
  </conditionalFormatting>
  <conditionalFormatting sqref="F18">
    <cfRule type="expression" dxfId="262" priority="198">
      <formula>_xlfn.ISFORMULA($F$18)</formula>
    </cfRule>
  </conditionalFormatting>
  <conditionalFormatting sqref="F19">
    <cfRule type="expression" dxfId="261" priority="191">
      <formula>_xlfn.ISFORMULA($F$19)</formula>
    </cfRule>
  </conditionalFormatting>
  <conditionalFormatting sqref="F20">
    <cfRule type="expression" dxfId="260" priority="184">
      <formula>_xlfn.ISFORMULA($F$20)</formula>
    </cfRule>
  </conditionalFormatting>
  <conditionalFormatting sqref="F21">
    <cfRule type="expression" dxfId="259" priority="177">
      <formula>_xlfn.ISFORMULA($F$21)</formula>
    </cfRule>
  </conditionalFormatting>
  <conditionalFormatting sqref="F22">
    <cfRule type="expression" dxfId="258" priority="170">
      <formula>_xlfn.ISFORMULA($F$22)</formula>
    </cfRule>
  </conditionalFormatting>
  <conditionalFormatting sqref="F23">
    <cfRule type="expression" dxfId="257" priority="163">
      <formula>_xlfn.ISFORMULA($F$23)</formula>
    </cfRule>
  </conditionalFormatting>
  <conditionalFormatting sqref="F26">
    <cfRule type="expression" dxfId="256" priority="156">
      <formula>_xlfn.ISFORMULA($F$26)</formula>
    </cfRule>
  </conditionalFormatting>
  <conditionalFormatting sqref="F32">
    <cfRule type="expression" dxfId="255" priority="146">
      <formula>_xlfn.ISFORMULA($F$32)</formula>
    </cfRule>
  </conditionalFormatting>
  <conditionalFormatting sqref="F33">
    <cfRule type="expression" dxfId="254" priority="139">
      <formula>_xlfn.ISFORMULA($F$33)</formula>
    </cfRule>
  </conditionalFormatting>
  <conditionalFormatting sqref="F34">
    <cfRule type="expression" dxfId="253" priority="132">
      <formula>_xlfn.ISFORMULA($F$34)</formula>
    </cfRule>
  </conditionalFormatting>
  <conditionalFormatting sqref="F35">
    <cfRule type="expression" dxfId="252" priority="125">
      <formula>_xlfn.ISFORMULA($F$35)</formula>
    </cfRule>
  </conditionalFormatting>
  <conditionalFormatting sqref="F36">
    <cfRule type="expression" dxfId="251" priority="118">
      <formula>_xlfn.ISFORMULA($F$36)</formula>
    </cfRule>
  </conditionalFormatting>
  <conditionalFormatting sqref="F39">
    <cfRule type="expression" dxfId="250" priority="111">
      <formula>_xlfn.ISFORMULA($F$39)</formula>
    </cfRule>
  </conditionalFormatting>
  <conditionalFormatting sqref="F45">
    <cfRule type="expression" dxfId="249" priority="101">
      <formula>_xlfn.ISFORMULA($F$45)</formula>
    </cfRule>
  </conditionalFormatting>
  <conditionalFormatting sqref="F46">
    <cfRule type="expression" dxfId="248" priority="94">
      <formula>_xlfn.ISFORMULA($F$46)</formula>
    </cfRule>
  </conditionalFormatting>
  <conditionalFormatting sqref="F47">
    <cfRule type="expression" dxfId="247" priority="87">
      <formula>_xlfn.ISFORMULA($F$47)</formula>
    </cfRule>
  </conditionalFormatting>
  <conditionalFormatting sqref="F48">
    <cfRule type="expression" dxfId="246" priority="80">
      <formula>_xlfn.ISFORMULA($F$48)</formula>
    </cfRule>
  </conditionalFormatting>
  <conditionalFormatting sqref="F49">
    <cfRule type="expression" dxfId="245" priority="73">
      <formula>_xlfn.ISFORMULA($F$49)</formula>
    </cfRule>
  </conditionalFormatting>
  <conditionalFormatting sqref="F50">
    <cfRule type="expression" dxfId="244" priority="66">
      <formula>_xlfn.ISFORMULA($F$50)</formula>
    </cfRule>
  </conditionalFormatting>
  <conditionalFormatting sqref="F51">
    <cfRule type="expression" dxfId="243" priority="59">
      <formula>_xlfn.ISFORMULA($F$51)</formula>
    </cfRule>
  </conditionalFormatting>
  <conditionalFormatting sqref="F54">
    <cfRule type="expression" dxfId="242" priority="52">
      <formula>_xlfn.ISFORMULA($F$54)</formula>
    </cfRule>
  </conditionalFormatting>
  <conditionalFormatting sqref="F60">
    <cfRule type="expression" dxfId="241" priority="42">
      <formula>_xlfn.ISFORMULA($F$60)</formula>
    </cfRule>
  </conditionalFormatting>
  <conditionalFormatting sqref="F61">
    <cfRule type="expression" dxfId="240" priority="35">
      <formula>_xlfn.ISFORMULA($F$61)</formula>
    </cfRule>
  </conditionalFormatting>
  <conditionalFormatting sqref="F62">
    <cfRule type="expression" dxfId="239" priority="28">
      <formula>_xlfn.ISFORMULA($F$62)</formula>
    </cfRule>
  </conditionalFormatting>
  <conditionalFormatting sqref="F63">
    <cfRule type="expression" dxfId="238" priority="21">
      <formula>_xlfn.ISFORMULA($F$63)</formula>
    </cfRule>
  </conditionalFormatting>
  <conditionalFormatting sqref="F64">
    <cfRule type="expression" dxfId="237" priority="14">
      <formula>_xlfn.ISFORMULA($F$64)</formula>
    </cfRule>
  </conditionalFormatting>
  <conditionalFormatting sqref="F67">
    <cfRule type="expression" dxfId="236" priority="7">
      <formula>_xlfn.ISFORMULA($F$67)</formula>
    </cfRule>
  </conditionalFormatting>
  <conditionalFormatting sqref="G26">
    <cfRule type="expression" dxfId="235" priority="155">
      <formula>_xlfn.ISFORMULA($G$26)</formula>
    </cfRule>
  </conditionalFormatting>
  <conditionalFormatting sqref="G39">
    <cfRule type="expression" dxfId="234" priority="110">
      <formula>_xlfn.ISFORMULA($G$39)</formula>
    </cfRule>
  </conditionalFormatting>
  <conditionalFormatting sqref="G54">
    <cfRule type="expression" dxfId="233" priority="51">
      <formula>_xlfn.ISFORMULA($G$54)</formula>
    </cfRule>
  </conditionalFormatting>
  <conditionalFormatting sqref="G67">
    <cfRule type="expression" dxfId="232" priority="6">
      <formula>_xlfn.ISFORMULA($G$67)</formula>
    </cfRule>
  </conditionalFormatting>
  <conditionalFormatting sqref="H17">
    <cfRule type="expression" dxfId="231" priority="204">
      <formula>_xlfn.ISFORMULA($H$17)</formula>
    </cfRule>
  </conditionalFormatting>
  <conditionalFormatting sqref="H18">
    <cfRule type="expression" dxfId="230" priority="197">
      <formula>_xlfn.ISFORMULA($H$18)</formula>
    </cfRule>
  </conditionalFormatting>
  <conditionalFormatting sqref="H19">
    <cfRule type="expression" dxfId="229" priority="190">
      <formula>_xlfn.ISFORMULA($H$19)</formula>
    </cfRule>
  </conditionalFormatting>
  <conditionalFormatting sqref="H20">
    <cfRule type="expression" dxfId="228" priority="183">
      <formula>_xlfn.ISFORMULA($H$20)</formula>
    </cfRule>
  </conditionalFormatting>
  <conditionalFormatting sqref="H21">
    <cfRule type="expression" dxfId="227" priority="176">
      <formula>_xlfn.ISFORMULA($H$21)</formula>
    </cfRule>
  </conditionalFormatting>
  <conditionalFormatting sqref="H22">
    <cfRule type="expression" dxfId="226" priority="169">
      <formula>_xlfn.ISFORMULA($H$22)</formula>
    </cfRule>
  </conditionalFormatting>
  <conditionalFormatting sqref="H23">
    <cfRule type="expression" dxfId="225" priority="162">
      <formula>_xlfn.ISFORMULA($H$23)</formula>
    </cfRule>
  </conditionalFormatting>
  <conditionalFormatting sqref="H26">
    <cfRule type="expression" dxfId="224" priority="154">
      <formula>_xlfn.ISFORMULA($H$26)</formula>
    </cfRule>
  </conditionalFormatting>
  <conditionalFormatting sqref="H32">
    <cfRule type="expression" dxfId="223" priority="145">
      <formula>_xlfn.ISFORMULA($H$32)</formula>
    </cfRule>
  </conditionalFormatting>
  <conditionalFormatting sqref="H33">
    <cfRule type="expression" dxfId="222" priority="138">
      <formula>_xlfn.ISFORMULA($H$33)</formula>
    </cfRule>
  </conditionalFormatting>
  <conditionalFormatting sqref="H34">
    <cfRule type="expression" dxfId="221" priority="131">
      <formula>_xlfn.ISFORMULA($H$34)</formula>
    </cfRule>
  </conditionalFormatting>
  <conditionalFormatting sqref="H35">
    <cfRule type="expression" dxfId="220" priority="124">
      <formula>_xlfn.ISFORMULA($H$35)</formula>
    </cfRule>
  </conditionalFormatting>
  <conditionalFormatting sqref="H36">
    <cfRule type="expression" dxfId="219" priority="117">
      <formula>_xlfn.ISFORMULA($H$36)</formula>
    </cfRule>
  </conditionalFormatting>
  <conditionalFormatting sqref="H39">
    <cfRule type="expression" dxfId="218" priority="109">
      <formula>_xlfn.ISFORMULA($H$39)</formula>
    </cfRule>
  </conditionalFormatting>
  <conditionalFormatting sqref="H45">
    <cfRule type="expression" dxfId="217" priority="100">
      <formula>_xlfn.ISFORMULA($H$45)</formula>
    </cfRule>
  </conditionalFormatting>
  <conditionalFormatting sqref="H46">
    <cfRule type="expression" dxfId="216" priority="93">
      <formula>_xlfn.ISFORMULA($H$46)</formula>
    </cfRule>
  </conditionalFormatting>
  <conditionalFormatting sqref="H47">
    <cfRule type="expression" dxfId="215" priority="86">
      <formula>_xlfn.ISFORMULA($H$47)</formula>
    </cfRule>
  </conditionalFormatting>
  <conditionalFormatting sqref="H48">
    <cfRule type="expression" dxfId="214" priority="79">
      <formula>_xlfn.ISFORMULA($H$48)</formula>
    </cfRule>
  </conditionalFormatting>
  <conditionalFormatting sqref="H49">
    <cfRule type="expression" dxfId="213" priority="72">
      <formula>_xlfn.ISFORMULA($H$49)</formula>
    </cfRule>
  </conditionalFormatting>
  <conditionalFormatting sqref="H50">
    <cfRule type="expression" dxfId="212" priority="65">
      <formula>_xlfn.ISFORMULA($H$50)</formula>
    </cfRule>
  </conditionalFormatting>
  <conditionalFormatting sqref="H51">
    <cfRule type="expression" dxfId="211" priority="58">
      <formula>_xlfn.ISFORMULA($H$51)</formula>
    </cfRule>
  </conditionalFormatting>
  <conditionalFormatting sqref="H54">
    <cfRule type="expression" dxfId="210" priority="50">
      <formula>_xlfn.ISFORMULA($H$54)</formula>
    </cfRule>
  </conditionalFormatting>
  <conditionalFormatting sqref="H60">
    <cfRule type="expression" dxfId="209" priority="41">
      <formula>_xlfn.ISFORMULA($H$60)</formula>
    </cfRule>
  </conditionalFormatting>
  <conditionalFormatting sqref="H61">
    <cfRule type="expression" dxfId="208" priority="34">
      <formula>_xlfn.ISFORMULA($H$61)</formula>
    </cfRule>
  </conditionalFormatting>
  <conditionalFormatting sqref="H62">
    <cfRule type="expression" dxfId="207" priority="27">
      <formula>_xlfn.ISFORMULA($H$62)</formula>
    </cfRule>
  </conditionalFormatting>
  <conditionalFormatting sqref="H63">
    <cfRule type="expression" dxfId="206" priority="20">
      <formula>_xlfn.ISFORMULA($H$63)</formula>
    </cfRule>
  </conditionalFormatting>
  <conditionalFormatting sqref="H64">
    <cfRule type="expression" dxfId="205" priority="13">
      <formula>_xlfn.ISFORMULA($H$64)</formula>
    </cfRule>
  </conditionalFormatting>
  <conditionalFormatting sqref="H67">
    <cfRule type="expression" dxfId="204" priority="5">
      <formula>_xlfn.ISFORMULA($H$67)</formula>
    </cfRule>
  </conditionalFormatting>
  <conditionalFormatting sqref="I17">
    <cfRule type="expression" dxfId="203" priority="203">
      <formula>_xlfn.ISFORMULA($I$17)</formula>
    </cfRule>
  </conditionalFormatting>
  <conditionalFormatting sqref="I18">
    <cfRule type="expression" dxfId="202" priority="196">
      <formula>_xlfn.ISFORMULA($I$18)</formula>
    </cfRule>
  </conditionalFormatting>
  <conditionalFormatting sqref="I19">
    <cfRule type="expression" dxfId="201" priority="189">
      <formula>_xlfn.ISFORMULA($I$19)</formula>
    </cfRule>
  </conditionalFormatting>
  <conditionalFormatting sqref="I20">
    <cfRule type="expression" dxfId="200" priority="182">
      <formula>_xlfn.ISFORMULA($I$20)</formula>
    </cfRule>
  </conditionalFormatting>
  <conditionalFormatting sqref="I21">
    <cfRule type="expression" dxfId="199" priority="175">
      <formula>_xlfn.ISFORMULA($I$21)</formula>
    </cfRule>
  </conditionalFormatting>
  <conditionalFormatting sqref="I22">
    <cfRule type="expression" dxfId="198" priority="168">
      <formula>_xlfn.ISFORMULA($I$22)</formula>
    </cfRule>
  </conditionalFormatting>
  <conditionalFormatting sqref="I23">
    <cfRule type="expression" dxfId="197" priority="161">
      <formula>_xlfn.ISFORMULA($I$23)</formula>
    </cfRule>
  </conditionalFormatting>
  <conditionalFormatting sqref="I26">
    <cfRule type="expression" dxfId="196" priority="153">
      <formula>_xlfn.ISFORMULA($I$26)</formula>
    </cfRule>
  </conditionalFormatting>
  <conditionalFormatting sqref="I32">
    <cfRule type="expression" dxfId="195" priority="144">
      <formula>_xlfn.ISFORMULA($I$32)</formula>
    </cfRule>
  </conditionalFormatting>
  <conditionalFormatting sqref="I33">
    <cfRule type="expression" dxfId="194" priority="137">
      <formula>_xlfn.ISFORMULA($I$33)</formula>
    </cfRule>
  </conditionalFormatting>
  <conditionalFormatting sqref="I34">
    <cfRule type="expression" dxfId="193" priority="130">
      <formula>_xlfn.ISFORMULA($I$34)</formula>
    </cfRule>
  </conditionalFormatting>
  <conditionalFormatting sqref="I35">
    <cfRule type="expression" dxfId="192" priority="123">
      <formula>_xlfn.ISFORMULA($I$35)</formula>
    </cfRule>
  </conditionalFormatting>
  <conditionalFormatting sqref="I36">
    <cfRule type="expression" dxfId="191" priority="116">
      <formula>_xlfn.ISFORMULA($I$36)</formula>
    </cfRule>
  </conditionalFormatting>
  <conditionalFormatting sqref="I39">
    <cfRule type="expression" dxfId="190" priority="108">
      <formula>_xlfn.ISFORMULA($I$39)</formula>
    </cfRule>
  </conditionalFormatting>
  <conditionalFormatting sqref="I45">
    <cfRule type="expression" dxfId="189" priority="99">
      <formula>_xlfn.ISFORMULA($I$45)</formula>
    </cfRule>
  </conditionalFormatting>
  <conditionalFormatting sqref="I46">
    <cfRule type="expression" dxfId="188" priority="92">
      <formula>_xlfn.ISFORMULA($I$46)</formula>
    </cfRule>
  </conditionalFormatting>
  <conditionalFormatting sqref="I47">
    <cfRule type="expression" dxfId="187" priority="85">
      <formula>_xlfn.ISFORMULA($I$47)</formula>
    </cfRule>
  </conditionalFormatting>
  <conditionalFormatting sqref="I48">
    <cfRule type="expression" dxfId="186" priority="78">
      <formula>_xlfn.ISFORMULA($I$48)</formula>
    </cfRule>
  </conditionalFormatting>
  <conditionalFormatting sqref="I49">
    <cfRule type="expression" dxfId="185" priority="71">
      <formula>_xlfn.ISFORMULA($I$49)</formula>
    </cfRule>
  </conditionalFormatting>
  <conditionalFormatting sqref="I50">
    <cfRule type="expression" dxfId="184" priority="64">
      <formula>_xlfn.ISFORMULA($I$50)</formula>
    </cfRule>
  </conditionalFormatting>
  <conditionalFormatting sqref="I51">
    <cfRule type="expression" dxfId="183" priority="57">
      <formula>_xlfn.ISFORMULA($I$51)</formula>
    </cfRule>
  </conditionalFormatting>
  <conditionalFormatting sqref="I54">
    <cfRule type="expression" dxfId="182" priority="49">
      <formula>_xlfn.ISFORMULA($I$54)</formula>
    </cfRule>
  </conditionalFormatting>
  <conditionalFormatting sqref="I60">
    <cfRule type="expression" dxfId="181" priority="40">
      <formula>_xlfn.ISFORMULA($I$60)</formula>
    </cfRule>
  </conditionalFormatting>
  <conditionalFormatting sqref="I61">
    <cfRule type="expression" dxfId="180" priority="33">
      <formula>_xlfn.ISFORMULA($I$61)</formula>
    </cfRule>
  </conditionalFormatting>
  <conditionalFormatting sqref="I62">
    <cfRule type="expression" dxfId="179" priority="26">
      <formula>_xlfn.ISFORMULA($I$62)</formula>
    </cfRule>
  </conditionalFormatting>
  <conditionalFormatting sqref="I63">
    <cfRule type="expression" dxfId="178" priority="19">
      <formula>_xlfn.ISFORMULA($I$63)</formula>
    </cfRule>
  </conditionalFormatting>
  <conditionalFormatting sqref="I64">
    <cfRule type="expression" dxfId="177" priority="12">
      <formula>_xlfn.ISFORMULA($I$64)</formula>
    </cfRule>
  </conditionalFormatting>
  <conditionalFormatting sqref="I67">
    <cfRule type="expression" dxfId="176" priority="4">
      <formula>_xlfn.ISFORMULA($I$67)</formula>
    </cfRule>
  </conditionalFormatting>
  <conditionalFormatting sqref="J17">
    <cfRule type="expression" dxfId="175" priority="202">
      <formula>_xlfn.ISFORMULA($J$17)</formula>
    </cfRule>
  </conditionalFormatting>
  <conditionalFormatting sqref="J18">
    <cfRule type="expression" dxfId="174" priority="195">
      <formula>_xlfn.ISFORMULA($J$18)</formula>
    </cfRule>
  </conditionalFormatting>
  <conditionalFormatting sqref="J19">
    <cfRule type="expression" dxfId="173" priority="188">
      <formula>_xlfn.ISFORMULA($J$19)</formula>
    </cfRule>
  </conditionalFormatting>
  <conditionalFormatting sqref="J20">
    <cfRule type="expression" dxfId="172" priority="181">
      <formula>_xlfn.ISFORMULA($J$20)</formula>
    </cfRule>
  </conditionalFormatting>
  <conditionalFormatting sqref="J21">
    <cfRule type="expression" dxfId="171" priority="174">
      <formula>_xlfn.ISFORMULA($J$21)</formula>
    </cfRule>
  </conditionalFormatting>
  <conditionalFormatting sqref="J22">
    <cfRule type="expression" dxfId="170" priority="167">
      <formula>_xlfn.ISFORMULA($J$22)</formula>
    </cfRule>
  </conditionalFormatting>
  <conditionalFormatting sqref="J23">
    <cfRule type="expression" dxfId="169" priority="160">
      <formula>_xlfn.ISFORMULA($J$23)</formula>
    </cfRule>
  </conditionalFormatting>
  <conditionalFormatting sqref="J26">
    <cfRule type="expression" dxfId="168" priority="152">
      <formula>_xlfn.ISFORMULA($J$26)</formula>
    </cfRule>
  </conditionalFormatting>
  <conditionalFormatting sqref="J32">
    <cfRule type="expression" dxfId="167" priority="143">
      <formula>_xlfn.ISFORMULA($J$32)</formula>
    </cfRule>
  </conditionalFormatting>
  <conditionalFormatting sqref="J33">
    <cfRule type="expression" dxfId="166" priority="136">
      <formula>_xlfn.ISFORMULA($J$33)</formula>
    </cfRule>
  </conditionalFormatting>
  <conditionalFormatting sqref="J34">
    <cfRule type="expression" dxfId="165" priority="129">
      <formula>_xlfn.ISFORMULA($J$34)</formula>
    </cfRule>
  </conditionalFormatting>
  <conditionalFormatting sqref="J35">
    <cfRule type="expression" dxfId="164" priority="122">
      <formula>_xlfn.ISFORMULA($J$35)</formula>
    </cfRule>
  </conditionalFormatting>
  <conditionalFormatting sqref="J36">
    <cfRule type="expression" dxfId="163" priority="115">
      <formula>_xlfn.ISFORMULA($J$36)</formula>
    </cfRule>
  </conditionalFormatting>
  <conditionalFormatting sqref="J39">
    <cfRule type="expression" dxfId="162" priority="107">
      <formula>_xlfn.ISFORMULA($J$39)</formula>
    </cfRule>
  </conditionalFormatting>
  <conditionalFormatting sqref="J45">
    <cfRule type="expression" dxfId="161" priority="98">
      <formula>_xlfn.ISFORMULA($J$45)</formula>
    </cfRule>
  </conditionalFormatting>
  <conditionalFormatting sqref="J46">
    <cfRule type="expression" dxfId="160" priority="91">
      <formula>_xlfn.ISFORMULA($J$46)</formula>
    </cfRule>
  </conditionalFormatting>
  <conditionalFormatting sqref="J47">
    <cfRule type="expression" dxfId="159" priority="84">
      <formula>_xlfn.ISFORMULA($J$47)</formula>
    </cfRule>
  </conditionalFormatting>
  <conditionalFormatting sqref="J48">
    <cfRule type="expression" dxfId="158" priority="77">
      <formula>_xlfn.ISFORMULA($J$48)</formula>
    </cfRule>
  </conditionalFormatting>
  <conditionalFormatting sqref="J49">
    <cfRule type="expression" dxfId="157" priority="70">
      <formula>_xlfn.ISFORMULA($J$49)</formula>
    </cfRule>
  </conditionalFormatting>
  <conditionalFormatting sqref="J50">
    <cfRule type="expression" dxfId="156" priority="63">
      <formula>_xlfn.ISFORMULA($J$50)</formula>
    </cfRule>
  </conditionalFormatting>
  <conditionalFormatting sqref="J51">
    <cfRule type="expression" dxfId="155" priority="56">
      <formula>_xlfn.ISFORMULA($J$51)</formula>
    </cfRule>
  </conditionalFormatting>
  <conditionalFormatting sqref="J54">
    <cfRule type="expression" dxfId="154" priority="48">
      <formula>_xlfn.ISFORMULA($J$54)</formula>
    </cfRule>
  </conditionalFormatting>
  <conditionalFormatting sqref="J60">
    <cfRule type="expression" dxfId="153" priority="39">
      <formula>_xlfn.ISFORMULA($J$60)</formula>
    </cfRule>
  </conditionalFormatting>
  <conditionalFormatting sqref="J61">
    <cfRule type="expression" dxfId="152" priority="32">
      <formula>_xlfn.ISFORMULA($J$61)</formula>
    </cfRule>
  </conditionalFormatting>
  <conditionalFormatting sqref="J62">
    <cfRule type="expression" dxfId="151" priority="25">
      <formula>_xlfn.ISFORMULA($J$62)</formula>
    </cfRule>
  </conditionalFormatting>
  <conditionalFormatting sqref="J63">
    <cfRule type="expression" dxfId="150" priority="18">
      <formula>_xlfn.ISFORMULA($J$63)</formula>
    </cfRule>
  </conditionalFormatting>
  <conditionalFormatting sqref="J64">
    <cfRule type="expression" dxfId="149" priority="11">
      <formula>_xlfn.ISFORMULA($J$64)</formula>
    </cfRule>
  </conditionalFormatting>
  <conditionalFormatting sqref="J67">
    <cfRule type="expression" dxfId="148" priority="3">
      <formula>_xlfn.ISFORMULA($J$67)</formula>
    </cfRule>
  </conditionalFormatting>
  <conditionalFormatting sqref="K26">
    <cfRule type="expression" dxfId="147" priority="151">
      <formula>_xlfn.ISFORMULA($K$26)</formula>
    </cfRule>
  </conditionalFormatting>
  <conditionalFormatting sqref="K39">
    <cfRule type="expression" dxfId="146" priority="106">
      <formula>_xlfn.ISFORMULA($K$39)</formula>
    </cfRule>
  </conditionalFormatting>
  <conditionalFormatting sqref="K54">
    <cfRule type="expression" dxfId="145" priority="47">
      <formula>_xlfn.ISFORMULA($K$54)</formula>
    </cfRule>
  </conditionalFormatting>
  <conditionalFormatting sqref="K67">
    <cfRule type="expression" dxfId="144" priority="2">
      <formula>_xlfn.ISFORMULA($K$67)</formula>
    </cfRule>
  </conditionalFormatting>
  <conditionalFormatting sqref="L26">
    <cfRule type="expression" dxfId="143" priority="150">
      <formula>_xlfn.ISFORMULA($L$26)</formula>
    </cfRule>
  </conditionalFormatting>
  <conditionalFormatting sqref="L39">
    <cfRule type="expression" dxfId="142" priority="105">
      <formula>_xlfn.ISFORMULA($L$39)</formula>
    </cfRule>
  </conditionalFormatting>
  <conditionalFormatting sqref="L54">
    <cfRule type="expression" dxfId="141" priority="46">
      <formula>_xlfn.ISFORMULA($L$54)</formula>
    </cfRule>
  </conditionalFormatting>
  <conditionalFormatting sqref="L67">
    <cfRule type="expression" dxfId="140" priority="1">
      <formula>_xlfn.ISFORMULA($L$67)</formula>
    </cfRule>
  </conditionalFormatting>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sheetPr>
  <dimension ref="A1:X76"/>
  <sheetViews>
    <sheetView showGridLines="0" zoomScaleNormal="100" workbookViewId="0">
      <selection activeCell="A2" sqref="A2"/>
    </sheetView>
  </sheetViews>
  <sheetFormatPr defaultColWidth="8.88671875" defaultRowHeight="15" x14ac:dyDescent="0.2"/>
  <cols>
    <col min="1" max="2" width="1.77734375" customWidth="1"/>
    <col min="3" max="3" width="29.88671875" customWidth="1"/>
    <col min="4" max="6" width="13.6640625" customWidth="1"/>
    <col min="7" max="13" width="12.77734375" customWidth="1"/>
    <col min="14" max="14" width="0.5546875" customWidth="1"/>
    <col min="15" max="15" width="0.88671875" customWidth="1"/>
    <col min="16" max="16" width="12.33203125" customWidth="1"/>
    <col min="17" max="24" width="8.88671875" customWidth="1"/>
  </cols>
  <sheetData>
    <row r="1" spans="1:24" ht="0.75" customHeight="1" x14ac:dyDescent="0.2">
      <c r="A1" s="123"/>
      <c r="B1" s="123"/>
      <c r="C1" s="123"/>
      <c r="D1" s="123"/>
      <c r="E1" s="123"/>
      <c r="F1" s="123"/>
      <c r="G1" s="123"/>
      <c r="H1" s="123"/>
      <c r="I1" s="123"/>
      <c r="J1" s="123"/>
      <c r="K1" s="123"/>
      <c r="L1" s="123"/>
      <c r="M1" s="123"/>
      <c r="N1" s="123"/>
      <c r="O1" s="26" t="s">
        <v>0</v>
      </c>
      <c r="P1" s="123"/>
      <c r="Q1" s="123"/>
      <c r="R1" s="123"/>
      <c r="S1" s="123"/>
      <c r="T1" s="123"/>
      <c r="U1" s="123"/>
      <c r="V1" s="123"/>
      <c r="W1" s="123"/>
      <c r="X1" s="123"/>
    </row>
    <row r="2" spans="1:24" ht="27.75" x14ac:dyDescent="0.4">
      <c r="A2" s="27" t="s">
        <v>38</v>
      </c>
      <c r="B2" s="123"/>
      <c r="C2" s="123"/>
      <c r="D2" s="123"/>
      <c r="E2" s="123"/>
      <c r="F2" s="123"/>
      <c r="G2" s="123"/>
      <c r="H2" s="123"/>
      <c r="I2" s="123"/>
      <c r="J2" s="123"/>
      <c r="K2" s="123"/>
      <c r="L2" s="123"/>
      <c r="M2" s="123"/>
      <c r="N2" s="123"/>
      <c r="O2" s="26"/>
      <c r="P2" s="123"/>
      <c r="Q2" s="123"/>
      <c r="R2" s="123"/>
      <c r="S2" s="123"/>
      <c r="T2" s="123"/>
      <c r="U2" s="123"/>
      <c r="V2" s="123"/>
      <c r="W2" s="123"/>
      <c r="X2" s="123"/>
    </row>
    <row r="3" spans="1:24" ht="54.75" customHeight="1" x14ac:dyDescent="0.2">
      <c r="A3" s="123"/>
      <c r="B3" s="132" t="s">
        <v>39</v>
      </c>
      <c r="C3" s="132"/>
      <c r="D3" s="132"/>
      <c r="E3" s="132"/>
      <c r="F3" s="132"/>
      <c r="G3" s="132"/>
      <c r="H3" s="121"/>
      <c r="I3" s="121"/>
      <c r="J3" s="123"/>
      <c r="K3" s="123"/>
      <c r="L3" s="123"/>
      <c r="M3" s="123"/>
      <c r="N3" s="123"/>
      <c r="O3" s="26"/>
      <c r="P3" s="123"/>
      <c r="Q3" s="123"/>
      <c r="R3" s="123"/>
      <c r="S3" s="123"/>
      <c r="T3" s="123"/>
      <c r="U3" s="123"/>
      <c r="V3" s="123"/>
      <c r="W3" s="123"/>
      <c r="X3" s="123"/>
    </row>
    <row r="4" spans="1:24" ht="20.25" thickBot="1" x14ac:dyDescent="0.35">
      <c r="A4" s="3" t="s">
        <v>22</v>
      </c>
      <c r="B4" s="3"/>
      <c r="C4" s="3"/>
      <c r="D4" s="3"/>
      <c r="E4" s="3"/>
      <c r="F4" s="3"/>
      <c r="G4" s="3"/>
      <c r="H4" s="3"/>
      <c r="I4" s="3"/>
      <c r="J4" s="3"/>
      <c r="K4" s="3"/>
      <c r="L4" s="3"/>
      <c r="M4" s="3"/>
      <c r="N4" s="123"/>
      <c r="O4" s="26"/>
      <c r="P4" s="123"/>
      <c r="Q4" s="123"/>
      <c r="R4" s="123"/>
      <c r="S4" s="123"/>
      <c r="T4" s="123"/>
      <c r="U4" s="123"/>
      <c r="V4" s="123"/>
      <c r="W4" s="123"/>
      <c r="X4" s="123"/>
    </row>
    <row r="5" spans="1:24" ht="40.5" customHeight="1" thickTop="1" thickBot="1" x14ac:dyDescent="0.25">
      <c r="A5" s="123"/>
      <c r="B5" s="137" t="s">
        <v>40</v>
      </c>
      <c r="C5" s="137"/>
      <c r="D5" s="137"/>
      <c r="E5" s="137"/>
      <c r="F5" s="137"/>
      <c r="G5" s="16"/>
      <c r="H5" s="16"/>
      <c r="I5" s="120"/>
      <c r="J5" s="123"/>
      <c r="K5" s="123"/>
      <c r="L5" s="123"/>
      <c r="M5" s="123"/>
      <c r="N5" s="123"/>
      <c r="O5" s="26"/>
      <c r="P5" s="123"/>
      <c r="Q5" s="123"/>
      <c r="R5" s="123"/>
      <c r="S5" s="123"/>
      <c r="T5" s="123"/>
      <c r="U5" s="123"/>
      <c r="V5" s="123"/>
      <c r="W5" s="123"/>
      <c r="X5" s="123"/>
    </row>
    <row r="6" spans="1:24" ht="21.75" customHeight="1" thickBot="1" x14ac:dyDescent="0.3">
      <c r="A6" s="123"/>
      <c r="B6" s="123"/>
      <c r="C6" s="122" t="s">
        <v>41</v>
      </c>
      <c r="D6" s="122" t="s">
        <v>42</v>
      </c>
      <c r="E6" s="122" t="s">
        <v>25</v>
      </c>
      <c r="F6" s="122" t="s">
        <v>26</v>
      </c>
      <c r="G6" s="123"/>
      <c r="H6" s="123"/>
      <c r="I6" s="123"/>
      <c r="J6" s="123"/>
      <c r="K6" s="123"/>
      <c r="L6" s="123"/>
      <c r="M6" s="123"/>
      <c r="N6" s="123"/>
      <c r="O6" s="26"/>
      <c r="P6" s="123"/>
      <c r="Q6" s="123"/>
      <c r="R6" s="123"/>
      <c r="S6" s="123"/>
      <c r="T6" s="123"/>
      <c r="U6" s="123"/>
      <c r="V6" s="123"/>
      <c r="W6" s="123"/>
      <c r="X6" s="123"/>
    </row>
    <row r="7" spans="1:24" ht="33" customHeight="1" thickBot="1" x14ac:dyDescent="0.25">
      <c r="A7" s="123"/>
      <c r="B7" s="123"/>
      <c r="C7" s="55" t="str">
        <f>"Revenue Gains (Margin)"</f>
        <v>Revenue Gains (Margin)</v>
      </c>
      <c r="D7" s="49"/>
      <c r="E7" s="17">
        <f>G24</f>
        <v>216111.63453757181</v>
      </c>
      <c r="F7" s="17">
        <f>D7+E7*DurationYrs</f>
        <v>1080558.172687859</v>
      </c>
      <c r="G7" s="123"/>
      <c r="H7" s="123"/>
      <c r="I7" s="123"/>
      <c r="J7" s="123"/>
      <c r="K7" s="123"/>
      <c r="L7" s="123"/>
      <c r="M7" s="123"/>
      <c r="N7" s="123"/>
      <c r="O7" s="26"/>
      <c r="P7" s="123"/>
      <c r="Q7" s="123"/>
      <c r="R7" s="123"/>
      <c r="S7" s="123"/>
      <c r="T7" s="123"/>
      <c r="U7" s="123"/>
      <c r="V7" s="123"/>
      <c r="W7" s="123"/>
      <c r="X7" s="123"/>
    </row>
    <row r="8" spans="1:24" ht="33" customHeight="1" thickBot="1" x14ac:dyDescent="0.25">
      <c r="A8" s="123"/>
      <c r="B8" s="123"/>
      <c r="C8" s="55" t="str">
        <f>"Cost/TCO Savings"</f>
        <v>Cost/TCO Savings</v>
      </c>
      <c r="D8" s="49">
        <f>D33</f>
        <v>0</v>
      </c>
      <c r="E8" s="17">
        <f>E33</f>
        <v>164160</v>
      </c>
      <c r="F8" s="17">
        <f>D8+E8*DurationYrs</f>
        <v>820800</v>
      </c>
      <c r="G8" s="123"/>
      <c r="H8" s="123"/>
      <c r="I8" s="123"/>
      <c r="J8" s="123"/>
      <c r="K8" s="123"/>
      <c r="L8" s="123"/>
      <c r="M8" s="123"/>
      <c r="N8" s="123"/>
      <c r="O8" s="26"/>
      <c r="P8" s="123"/>
      <c r="Q8" s="123"/>
      <c r="R8" s="123"/>
      <c r="S8" s="123"/>
      <c r="T8" s="123"/>
      <c r="U8" s="123"/>
      <c r="V8" s="123"/>
      <c r="W8" s="123"/>
      <c r="X8" s="123"/>
    </row>
    <row r="9" spans="1:24" ht="33" customHeight="1" thickBot="1" x14ac:dyDescent="0.25">
      <c r="A9" s="123"/>
      <c r="B9" s="123"/>
      <c r="C9" s="56" t="str">
        <f>"Productivity Savings"</f>
        <v>Productivity Savings</v>
      </c>
      <c r="D9" s="49"/>
      <c r="E9" s="17">
        <f>K71</f>
        <v>205200</v>
      </c>
      <c r="F9" s="17">
        <f>D9+E9*DurationYrs</f>
        <v>1026000</v>
      </c>
      <c r="G9" s="123"/>
      <c r="H9" s="123"/>
      <c r="I9" s="123"/>
      <c r="J9" s="123"/>
      <c r="K9" s="123"/>
      <c r="L9" s="123"/>
      <c r="M9" s="123"/>
      <c r="N9" s="123"/>
      <c r="O9" s="26"/>
      <c r="P9" s="123"/>
      <c r="Q9" s="123"/>
      <c r="R9" s="123"/>
      <c r="S9" s="123"/>
      <c r="T9" s="123"/>
      <c r="U9" s="123"/>
      <c r="V9" s="123"/>
      <c r="W9" s="123"/>
      <c r="X9" s="123"/>
    </row>
    <row r="10" spans="1:24" ht="30" customHeight="1" thickTop="1" x14ac:dyDescent="0.2">
      <c r="A10" s="123"/>
      <c r="B10" s="123"/>
      <c r="C10" s="33" t="s">
        <v>27</v>
      </c>
      <c r="D10" s="38">
        <f>SUM(D7:D9)</f>
        <v>0</v>
      </c>
      <c r="E10" s="38">
        <f t="shared" ref="E10" si="0">SUM(E7:E9)</f>
        <v>585471.63453757181</v>
      </c>
      <c r="F10" s="38">
        <f>SUM(F7:F9)</f>
        <v>2927358.1726878593</v>
      </c>
      <c r="G10" s="123"/>
      <c r="H10" s="123"/>
      <c r="I10" s="123"/>
      <c r="J10" s="123"/>
      <c r="K10" s="123"/>
      <c r="L10" s="123"/>
      <c r="M10" s="123"/>
      <c r="N10" s="123"/>
      <c r="O10" s="26"/>
      <c r="P10" s="123"/>
      <c r="Q10" s="123"/>
      <c r="R10" s="123"/>
      <c r="S10" s="123"/>
      <c r="T10" s="123"/>
      <c r="U10" s="123"/>
      <c r="V10" s="123"/>
      <c r="W10" s="123"/>
      <c r="X10" s="123"/>
    </row>
    <row r="11" spans="1:24" x14ac:dyDescent="0.2">
      <c r="A11" s="123"/>
      <c r="B11" s="123"/>
      <c r="C11" s="123"/>
      <c r="D11" s="123"/>
      <c r="E11" s="123"/>
      <c r="F11" s="123"/>
      <c r="G11" s="123"/>
      <c r="H11" s="123"/>
      <c r="I11" s="123"/>
      <c r="J11" s="123"/>
      <c r="K11" s="123"/>
      <c r="L11" s="123"/>
      <c r="M11" s="123"/>
      <c r="N11" s="123"/>
      <c r="O11" s="26"/>
      <c r="P11" s="123"/>
      <c r="Q11" s="123"/>
      <c r="R11" s="123"/>
      <c r="S11" s="123"/>
      <c r="T11" s="123"/>
      <c r="U11" s="123"/>
      <c r="V11" s="123"/>
      <c r="W11" s="123"/>
      <c r="X11" s="123"/>
    </row>
    <row r="12" spans="1:24" ht="12" customHeight="1" x14ac:dyDescent="0.2">
      <c r="A12" s="123"/>
      <c r="B12" s="123"/>
      <c r="C12" s="123"/>
      <c r="D12" s="123"/>
      <c r="E12" s="123"/>
      <c r="F12" s="123"/>
      <c r="G12" s="123"/>
      <c r="H12" s="123"/>
      <c r="I12" s="123"/>
      <c r="J12" s="123"/>
      <c r="K12" s="123"/>
      <c r="L12" s="123"/>
      <c r="M12" s="123"/>
      <c r="N12" s="123"/>
      <c r="O12" s="26"/>
      <c r="P12" s="123"/>
      <c r="Q12" s="123"/>
      <c r="R12" s="123"/>
      <c r="S12" s="123"/>
      <c r="T12" s="123"/>
      <c r="U12" s="123"/>
      <c r="V12" s="123"/>
      <c r="W12" s="123"/>
      <c r="X12" s="123"/>
    </row>
    <row r="13" spans="1:24" ht="20.25" thickBot="1" x14ac:dyDescent="0.35">
      <c r="A13" s="3" t="str">
        <f>C7</f>
        <v>Revenue Gains (Margin)</v>
      </c>
      <c r="B13" s="3"/>
      <c r="C13" s="3"/>
      <c r="D13" s="3"/>
      <c r="E13" s="3"/>
      <c r="F13" s="3"/>
      <c r="G13" s="3"/>
      <c r="H13" s="3"/>
      <c r="I13" s="3"/>
      <c r="J13" s="3"/>
      <c r="K13" s="3"/>
      <c r="L13" s="3"/>
      <c r="M13" s="3"/>
      <c r="N13" s="123"/>
      <c r="O13" s="26"/>
      <c r="P13" s="123"/>
      <c r="Q13" s="123"/>
      <c r="R13" s="123"/>
      <c r="S13" s="123"/>
      <c r="T13" s="123"/>
      <c r="U13" s="123"/>
      <c r="V13" s="123"/>
      <c r="W13" s="123"/>
      <c r="X13" s="123"/>
    </row>
    <row r="14" spans="1:24" ht="16.5" thickTop="1" thickBot="1" x14ac:dyDescent="0.25">
      <c r="A14" s="123"/>
      <c r="B14" s="141" t="s">
        <v>43</v>
      </c>
      <c r="C14" s="141"/>
      <c r="D14" s="141"/>
      <c r="E14" s="141"/>
      <c r="F14" s="141"/>
      <c r="G14" s="141"/>
      <c r="H14" s="141"/>
      <c r="I14" s="120"/>
      <c r="J14" s="123"/>
      <c r="K14" s="123"/>
      <c r="L14" s="123"/>
      <c r="M14" s="123"/>
      <c r="N14" s="123"/>
      <c r="O14" s="26"/>
      <c r="P14" s="123"/>
      <c r="Q14" s="123" t="s">
        <v>44</v>
      </c>
      <c r="R14" s="123"/>
      <c r="S14" s="123"/>
      <c r="T14" s="123"/>
      <c r="U14" s="123"/>
      <c r="V14" s="123"/>
      <c r="W14" s="123"/>
      <c r="X14" s="123"/>
    </row>
    <row r="15" spans="1:24" ht="47.25" customHeight="1" thickBot="1" x14ac:dyDescent="0.3">
      <c r="A15" s="123"/>
      <c r="B15" s="123"/>
      <c r="C15" s="21"/>
      <c r="D15" s="122" t="s">
        <v>45</v>
      </c>
      <c r="E15" s="122" t="s">
        <v>46</v>
      </c>
      <c r="F15" s="122" t="s">
        <v>47</v>
      </c>
      <c r="G15" s="122" t="s">
        <v>48</v>
      </c>
      <c r="H15" s="122" t="s">
        <v>49</v>
      </c>
      <c r="I15" s="123"/>
      <c r="J15" s="123"/>
      <c r="K15" s="123"/>
      <c r="L15" s="123"/>
      <c r="M15" s="123"/>
      <c r="N15" s="123"/>
      <c r="O15" s="26"/>
      <c r="P15" s="122" t="s">
        <v>50</v>
      </c>
      <c r="Q15" s="122" t="s">
        <v>51</v>
      </c>
      <c r="R15" s="5" t="s">
        <v>50</v>
      </c>
      <c r="S15" s="123"/>
      <c r="T15" s="123"/>
      <c r="U15" s="123"/>
      <c r="V15" s="123"/>
      <c r="W15" s="123"/>
      <c r="X15" s="123"/>
    </row>
    <row r="16" spans="1:24" ht="15.75" thickBot="1" x14ac:dyDescent="0.25">
      <c r="A16" s="123"/>
      <c r="B16" s="123"/>
      <c r="C16" s="50" t="s">
        <v>52</v>
      </c>
      <c r="D16" s="85">
        <f>Users*40</f>
        <v>18240</v>
      </c>
      <c r="E16" s="86">
        <f>0.02</f>
        <v>0.02</v>
      </c>
      <c r="F16" s="79">
        <f>D16*(1+E16)</f>
        <v>18604.8</v>
      </c>
      <c r="G16" s="58">
        <f>F16-D16</f>
        <v>364.79999999999927</v>
      </c>
      <c r="H16" s="9">
        <f>P16*$G$24/$P$24</f>
        <v>43222.326907514274</v>
      </c>
      <c r="I16" s="123"/>
      <c r="J16" s="123"/>
      <c r="K16" s="123"/>
      <c r="L16" s="123"/>
      <c r="M16" s="123"/>
      <c r="N16" s="123"/>
      <c r="O16" s="26"/>
      <c r="P16" s="9">
        <f>G16*D17*D19*D21*D23</f>
        <v>41527.664639999923</v>
      </c>
      <c r="Q16" s="123" t="s">
        <v>53</v>
      </c>
      <c r="R16" s="59">
        <f>H16/1000</f>
        <v>43.222326907514272</v>
      </c>
      <c r="S16" s="146" t="s">
        <v>54</v>
      </c>
      <c r="T16" s="147"/>
      <c r="U16" s="147"/>
      <c r="V16" s="147"/>
      <c r="W16" s="147"/>
      <c r="X16" s="147"/>
    </row>
    <row r="17" spans="1:24" ht="15.75" thickBot="1" x14ac:dyDescent="0.25">
      <c r="A17" s="123"/>
      <c r="B17" s="123"/>
      <c r="C17" s="126" t="s">
        <v>55</v>
      </c>
      <c r="D17" s="87">
        <f>0.02904</f>
        <v>2.904E-2</v>
      </c>
      <c r="E17" s="57">
        <f>0.02</f>
        <v>0.02</v>
      </c>
      <c r="F17" s="80">
        <f>D17*(1+E17)</f>
        <v>2.9620799999999999E-2</v>
      </c>
      <c r="G17" s="60">
        <f t="shared" ref="G17:G23" si="1">F17-D17</f>
        <v>5.8079999999999937E-4</v>
      </c>
      <c r="H17" s="9">
        <f>P17*$G$24/$P$24</f>
        <v>43222.326907514311</v>
      </c>
      <c r="I17" s="123"/>
      <c r="J17" s="123"/>
      <c r="K17" s="123"/>
      <c r="L17" s="123"/>
      <c r="M17" s="123"/>
      <c r="N17" s="123"/>
      <c r="O17" s="26"/>
      <c r="P17" s="9">
        <f>G17*D16*D19*D21*D23</f>
        <v>41527.664639999959</v>
      </c>
      <c r="Q17" s="6" t="s">
        <v>56</v>
      </c>
      <c r="R17" s="59">
        <f>H17/1000</f>
        <v>43.222326907514308</v>
      </c>
      <c r="S17" s="146"/>
      <c r="T17" s="147"/>
      <c r="U17" s="147"/>
      <c r="V17" s="147"/>
      <c r="W17" s="147"/>
      <c r="X17" s="147"/>
    </row>
    <row r="18" spans="1:24" ht="15.75" thickBot="1" x14ac:dyDescent="0.25">
      <c r="A18" s="123"/>
      <c r="B18" s="123"/>
      <c r="C18" s="61" t="s">
        <v>57</v>
      </c>
      <c r="D18" s="82">
        <f>D17*D16</f>
        <v>529.68960000000004</v>
      </c>
      <c r="E18" s="84">
        <f>(F18-D18)/D18</f>
        <v>4.0399999999999929E-2</v>
      </c>
      <c r="F18" s="58">
        <f>F17*F16</f>
        <v>551.08905984</v>
      </c>
      <c r="G18" s="58">
        <f t="shared" si="1"/>
        <v>21.399459839999963</v>
      </c>
      <c r="H18" s="123"/>
      <c r="I18" s="123"/>
      <c r="J18" s="123"/>
      <c r="K18" s="123"/>
      <c r="L18" s="123"/>
      <c r="M18" s="123"/>
      <c r="N18" s="123"/>
      <c r="O18" s="26"/>
      <c r="P18" s="123"/>
      <c r="Q18" s="6" t="s">
        <v>58</v>
      </c>
      <c r="R18" s="59">
        <f>H19/1000</f>
        <v>43.222326907514443</v>
      </c>
      <c r="S18" s="146"/>
      <c r="T18" s="147"/>
      <c r="U18" s="147"/>
      <c r="V18" s="147"/>
      <c r="W18" s="147"/>
      <c r="X18" s="147"/>
    </row>
    <row r="19" spans="1:24" ht="15.75" thickBot="1" x14ac:dyDescent="0.25">
      <c r="A19" s="123"/>
      <c r="B19" s="123"/>
      <c r="C19" s="126" t="s">
        <v>59</v>
      </c>
      <c r="D19" s="87">
        <f>0.098</f>
        <v>9.8000000000000004E-2</v>
      </c>
      <c r="E19" s="57">
        <f>0.02</f>
        <v>0.02</v>
      </c>
      <c r="F19" s="80">
        <f>D19*(1+E19)</f>
        <v>9.9960000000000007E-2</v>
      </c>
      <c r="G19" s="60">
        <f t="shared" si="1"/>
        <v>1.9600000000000034E-3</v>
      </c>
      <c r="H19" s="9">
        <f>P19*$G$24/$P$24</f>
        <v>43222.326907514442</v>
      </c>
      <c r="I19" s="123"/>
      <c r="J19" s="123"/>
      <c r="K19" s="123"/>
      <c r="L19" s="123"/>
      <c r="M19" s="123"/>
      <c r="N19" s="123"/>
      <c r="O19" s="26"/>
      <c r="P19" s="9">
        <f>G19*D18*D21*D23</f>
        <v>41527.664640000083</v>
      </c>
      <c r="Q19" s="6" t="s">
        <v>60</v>
      </c>
      <c r="R19" s="59">
        <f>H21/1000</f>
        <v>43.222326907514365</v>
      </c>
      <c r="S19" s="146"/>
      <c r="T19" s="147"/>
      <c r="U19" s="147"/>
      <c r="V19" s="147"/>
      <c r="W19" s="147"/>
      <c r="X19" s="147"/>
    </row>
    <row r="20" spans="1:24" ht="15.75" thickBot="1" x14ac:dyDescent="0.25">
      <c r="A20" s="123"/>
      <c r="B20" s="123"/>
      <c r="C20" s="61" t="s">
        <v>61</v>
      </c>
      <c r="D20" s="83">
        <f>D19*D18</f>
        <v>51.909580800000008</v>
      </c>
      <c r="E20" s="84">
        <f>(F20-D20)/D20</f>
        <v>6.1207999999999936E-2</v>
      </c>
      <c r="F20" s="62">
        <f>F19*F18</f>
        <v>55.086862421606405</v>
      </c>
      <c r="G20" s="62">
        <f t="shared" si="1"/>
        <v>3.1772816216063973</v>
      </c>
      <c r="H20" s="123"/>
      <c r="I20" s="123"/>
      <c r="J20" s="123"/>
      <c r="K20" s="123"/>
      <c r="L20" s="123"/>
      <c r="M20" s="123"/>
      <c r="N20" s="123"/>
      <c r="O20" s="26"/>
      <c r="P20" s="123"/>
      <c r="Q20" s="6" t="s">
        <v>62</v>
      </c>
      <c r="R20" s="59">
        <f>H23/1000</f>
        <v>43.222326907514407</v>
      </c>
      <c r="S20" s="146"/>
      <c r="T20" s="147"/>
      <c r="U20" s="147"/>
      <c r="V20" s="147"/>
      <c r="W20" s="147"/>
      <c r="X20" s="147"/>
    </row>
    <row r="21" spans="1:24" ht="15.75" thickBot="1" x14ac:dyDescent="0.25">
      <c r="A21" s="123"/>
      <c r="B21" s="123"/>
      <c r="C21" s="126" t="s">
        <v>63</v>
      </c>
      <c r="D21" s="88">
        <f>200000</f>
        <v>200000</v>
      </c>
      <c r="E21" s="57">
        <f>0.02</f>
        <v>0.02</v>
      </c>
      <c r="F21" s="32">
        <f>D21*(1+E21)</f>
        <v>204000</v>
      </c>
      <c r="G21" s="9">
        <f t="shared" si="1"/>
        <v>4000</v>
      </c>
      <c r="H21" s="9">
        <f>P21*$G$24/$P$24</f>
        <v>43222.326907514362</v>
      </c>
      <c r="I21" s="123"/>
      <c r="J21" s="123"/>
      <c r="K21" s="123"/>
      <c r="L21" s="123"/>
      <c r="M21" s="123"/>
      <c r="N21" s="123"/>
      <c r="O21" s="26"/>
      <c r="P21" s="9">
        <f>G21*D20*D23</f>
        <v>41527.66464000001</v>
      </c>
      <c r="Q21" s="123"/>
      <c r="R21" s="123"/>
      <c r="S21" s="149"/>
      <c r="T21" s="150"/>
      <c r="U21" s="150"/>
      <c r="V21" s="150"/>
      <c r="W21" s="150"/>
      <c r="X21" s="150"/>
    </row>
    <row r="22" spans="1:24" ht="15.75" thickBot="1" x14ac:dyDescent="0.25">
      <c r="A22" s="123"/>
      <c r="B22" s="123"/>
      <c r="C22" s="61" t="s">
        <v>64</v>
      </c>
      <c r="D22" s="99">
        <f>D21*D20</f>
        <v>10381916.160000002</v>
      </c>
      <c r="E22" s="84">
        <f>(F22-D22)/D22</f>
        <v>8.2432159999999838E-2</v>
      </c>
      <c r="F22" s="100">
        <f>F21*F20</f>
        <v>11237719.934007706</v>
      </c>
      <c r="G22" s="100">
        <f t="shared" si="1"/>
        <v>855803.77400770411</v>
      </c>
      <c r="H22" s="123"/>
      <c r="I22" s="123"/>
      <c r="J22" s="123"/>
      <c r="K22" s="123"/>
      <c r="L22" s="123"/>
      <c r="M22" s="123"/>
      <c r="N22" s="123"/>
      <c r="O22" s="26"/>
      <c r="P22" s="123"/>
      <c r="Q22" s="123"/>
      <c r="R22" s="123"/>
      <c r="S22" s="146" t="s">
        <v>65</v>
      </c>
      <c r="T22" s="147"/>
      <c r="U22" s="147"/>
      <c r="V22" s="147"/>
      <c r="W22" s="147"/>
      <c r="X22" s="147"/>
    </row>
    <row r="23" spans="1:24" ht="15.75" thickBot="1" x14ac:dyDescent="0.25">
      <c r="A23" s="123"/>
      <c r="B23" s="123"/>
      <c r="C23" s="126" t="s">
        <v>66</v>
      </c>
      <c r="D23" s="89">
        <f>0.2</f>
        <v>0.2</v>
      </c>
      <c r="E23" s="57">
        <f>0.02</f>
        <v>0.02</v>
      </c>
      <c r="F23" s="80">
        <f>D23*(1+E23)</f>
        <v>0.20400000000000001</v>
      </c>
      <c r="G23" s="60">
        <f t="shared" si="1"/>
        <v>4.0000000000000036E-3</v>
      </c>
      <c r="H23" s="9">
        <f>P23*$G$24/$P$24</f>
        <v>43222.326907514405</v>
      </c>
      <c r="I23" s="123"/>
      <c r="J23" s="123"/>
      <c r="K23" s="123"/>
      <c r="L23" s="123"/>
      <c r="M23" s="123"/>
      <c r="N23" s="123"/>
      <c r="O23" s="26"/>
      <c r="P23" s="9">
        <f>G23*D22</f>
        <v>41527.664640000046</v>
      </c>
      <c r="Q23" s="123"/>
      <c r="R23" s="123"/>
      <c r="S23" s="151" t="s">
        <v>67</v>
      </c>
      <c r="T23" s="132"/>
      <c r="U23" s="132"/>
      <c r="V23" s="132"/>
      <c r="W23" s="132"/>
      <c r="X23" s="132"/>
    </row>
    <row r="24" spans="1:24" ht="16.5" thickTop="1" thickBot="1" x14ac:dyDescent="0.25">
      <c r="A24" s="123"/>
      <c r="B24" s="123"/>
      <c r="C24" s="63" t="s">
        <v>68</v>
      </c>
      <c r="D24" s="101">
        <f>D23*D22</f>
        <v>2076383.2320000005</v>
      </c>
      <c r="E24" s="81">
        <f>(F24-D24)/D24</f>
        <v>0.10408080319999991</v>
      </c>
      <c r="F24" s="102">
        <f>F23*F22</f>
        <v>2292494.8665375724</v>
      </c>
      <c r="G24" s="102">
        <f>F24-D24</f>
        <v>216111.63453757181</v>
      </c>
      <c r="H24" s="102">
        <f>SUM(H16:H23)</f>
        <v>216111.63453757181</v>
      </c>
      <c r="I24" s="123"/>
      <c r="J24" s="123"/>
      <c r="K24" s="123"/>
      <c r="L24" s="123"/>
      <c r="M24" s="123"/>
      <c r="N24" s="123"/>
      <c r="O24" s="26"/>
      <c r="P24" s="17">
        <f>SUM(P16:P23)</f>
        <v>207638.32320000004</v>
      </c>
      <c r="Q24" s="123"/>
      <c r="R24" s="123"/>
      <c r="S24" s="149"/>
      <c r="T24" s="150"/>
      <c r="U24" s="150"/>
      <c r="V24" s="150"/>
      <c r="W24" s="150"/>
      <c r="X24" s="150"/>
    </row>
    <row r="25" spans="1:24" ht="11.25" customHeight="1" thickBot="1" x14ac:dyDescent="0.25">
      <c r="A25" s="123"/>
      <c r="B25" s="123"/>
      <c r="C25" s="123"/>
      <c r="D25" s="123"/>
      <c r="E25" s="123"/>
      <c r="F25" s="123"/>
      <c r="G25" s="123"/>
      <c r="H25" s="123"/>
      <c r="I25" s="123"/>
      <c r="J25" s="123"/>
      <c r="K25" s="123"/>
      <c r="L25" s="123"/>
      <c r="M25" s="123"/>
      <c r="N25" s="123"/>
      <c r="O25" s="26"/>
      <c r="P25" s="123"/>
      <c r="Q25" s="123"/>
      <c r="R25" s="123"/>
      <c r="S25" s="123"/>
      <c r="T25" s="123"/>
      <c r="U25" s="123"/>
      <c r="V25" s="123"/>
      <c r="W25" s="123"/>
      <c r="X25" s="123"/>
    </row>
    <row r="26" spans="1:24" ht="27" customHeight="1" thickBot="1" x14ac:dyDescent="0.25">
      <c r="A26" s="123"/>
      <c r="B26" s="123"/>
      <c r="C26" s="133" t="str">
        <f>"Comments"</f>
        <v>Comments</v>
      </c>
      <c r="D26" s="134"/>
      <c r="E26" s="134"/>
      <c r="F26" s="134"/>
      <c r="G26" s="134"/>
      <c r="H26" s="134"/>
      <c r="I26" s="123"/>
      <c r="J26" s="123"/>
      <c r="K26" s="123"/>
      <c r="L26" s="123"/>
      <c r="M26" s="123"/>
      <c r="N26" s="123"/>
      <c r="O26" s="26"/>
      <c r="P26" s="123"/>
      <c r="Q26" s="123"/>
      <c r="R26" s="123"/>
      <c r="S26" s="123"/>
      <c r="T26" s="123"/>
      <c r="U26" s="123"/>
      <c r="V26" s="123"/>
      <c r="W26" s="123"/>
      <c r="X26" s="123"/>
    </row>
    <row r="27" spans="1:24" ht="8.25" customHeight="1" x14ac:dyDescent="0.2">
      <c r="A27" s="123"/>
      <c r="B27" s="123"/>
      <c r="C27" s="123"/>
      <c r="D27" s="123"/>
      <c r="E27" s="123"/>
      <c r="F27" s="123"/>
      <c r="G27" s="123"/>
      <c r="H27" s="123"/>
      <c r="I27" s="123"/>
      <c r="J27" s="123"/>
      <c r="K27" s="123"/>
      <c r="L27" s="123"/>
      <c r="M27" s="123"/>
      <c r="N27" s="123"/>
      <c r="O27" s="26"/>
      <c r="P27" s="123"/>
      <c r="Q27" s="123"/>
      <c r="R27" s="123"/>
      <c r="S27" s="123"/>
      <c r="T27" s="123"/>
      <c r="U27" s="123"/>
      <c r="V27" s="123"/>
      <c r="W27" s="123"/>
      <c r="X27" s="123"/>
    </row>
    <row r="28" spans="1:24" ht="20.25" thickBot="1" x14ac:dyDescent="0.35">
      <c r="A28" s="3" t="str">
        <f>C8</f>
        <v>Cost/TCO Savings</v>
      </c>
      <c r="B28" s="3"/>
      <c r="C28" s="3"/>
      <c r="D28" s="3"/>
      <c r="E28" s="3"/>
      <c r="F28" s="3"/>
      <c r="G28" s="3"/>
      <c r="H28" s="3"/>
      <c r="I28" s="3"/>
      <c r="J28" s="3"/>
      <c r="K28" s="3"/>
      <c r="L28" s="3"/>
      <c r="M28" s="3"/>
      <c r="N28" s="123"/>
      <c r="O28" s="26"/>
      <c r="P28" s="123"/>
      <c r="Q28" s="123"/>
      <c r="R28" s="123"/>
      <c r="S28" s="123"/>
      <c r="T28" s="123"/>
      <c r="U28" s="123"/>
      <c r="V28" s="123"/>
      <c r="W28" s="123"/>
      <c r="X28" s="123"/>
    </row>
    <row r="29" spans="1:24" ht="35.25" customHeight="1" thickTop="1" x14ac:dyDescent="0.2">
      <c r="A29" s="123"/>
      <c r="B29" s="141" t="s">
        <v>69</v>
      </c>
      <c r="C29" s="141"/>
      <c r="D29" s="141"/>
      <c r="E29" s="141"/>
      <c r="F29" s="141"/>
      <c r="G29" s="141"/>
      <c r="H29" s="141"/>
      <c r="I29" s="120"/>
      <c r="J29" s="123"/>
      <c r="K29" s="123"/>
      <c r="L29" s="123"/>
      <c r="M29" s="123"/>
      <c r="N29" s="123"/>
      <c r="O29" s="26"/>
      <c r="P29" s="123"/>
      <c r="Q29" s="123"/>
      <c r="R29" s="123"/>
      <c r="S29" s="123"/>
      <c r="T29" s="123"/>
      <c r="U29" s="123"/>
      <c r="V29" s="123"/>
      <c r="W29" s="123"/>
      <c r="X29" s="123"/>
    </row>
    <row r="30" spans="1:24" ht="16.5" x14ac:dyDescent="0.2">
      <c r="A30" s="123"/>
      <c r="B30" s="64" t="s">
        <v>70</v>
      </c>
      <c r="C30" s="120"/>
      <c r="D30" s="120"/>
      <c r="E30" s="120"/>
      <c r="F30" s="120"/>
      <c r="G30" s="120"/>
      <c r="H30" s="120"/>
      <c r="I30" s="120"/>
      <c r="J30" s="123"/>
      <c r="K30" s="123"/>
      <c r="L30" s="123"/>
      <c r="M30" s="123"/>
      <c r="N30" s="123"/>
      <c r="O30" s="26"/>
      <c r="P30" s="123"/>
      <c r="Q30" s="123"/>
      <c r="R30" s="123"/>
      <c r="S30" s="123"/>
      <c r="T30" s="123"/>
      <c r="U30" s="123"/>
      <c r="V30" s="123"/>
      <c r="W30" s="123"/>
      <c r="X30" s="123"/>
    </row>
    <row r="31" spans="1:24" ht="15.75" thickBot="1" x14ac:dyDescent="0.25">
      <c r="A31" s="123"/>
      <c r="B31" s="120"/>
      <c r="C31" s="132" t="s">
        <v>71</v>
      </c>
      <c r="D31" s="132"/>
      <c r="E31" s="132"/>
      <c r="F31" s="132"/>
      <c r="G31" s="120"/>
      <c r="H31" s="120"/>
      <c r="I31" s="120"/>
      <c r="J31" s="123"/>
      <c r="K31" s="123"/>
      <c r="L31" s="123"/>
      <c r="M31" s="123"/>
      <c r="N31" s="123"/>
      <c r="O31" s="26"/>
      <c r="P31" s="123"/>
      <c r="Q31" s="123"/>
      <c r="R31" s="123"/>
      <c r="S31" s="123"/>
      <c r="T31" s="123"/>
      <c r="U31" s="123"/>
      <c r="V31" s="123"/>
      <c r="W31" s="123"/>
      <c r="X31" s="123"/>
    </row>
    <row r="32" spans="1:24" ht="17.25" thickBot="1" x14ac:dyDescent="0.3">
      <c r="A32" s="123"/>
      <c r="B32" s="64"/>
      <c r="C32" s="120"/>
      <c r="D32" s="122" t="s">
        <v>42</v>
      </c>
      <c r="E32" s="122" t="s">
        <v>25</v>
      </c>
      <c r="F32" s="122" t="s">
        <v>26</v>
      </c>
      <c r="G32" s="120"/>
      <c r="H32" s="120"/>
      <c r="I32" s="120"/>
      <c r="J32" s="123"/>
      <c r="K32" s="123"/>
      <c r="L32" s="123"/>
      <c r="M32" s="123"/>
      <c r="N32" s="123"/>
      <c r="O32" s="26"/>
      <c r="P32" s="123"/>
      <c r="Q32" s="123"/>
      <c r="R32" s="123"/>
      <c r="S32" s="123"/>
      <c r="T32" s="123"/>
      <c r="U32" s="123"/>
      <c r="V32" s="123"/>
      <c r="W32" s="123"/>
      <c r="X32" s="123"/>
    </row>
    <row r="33" spans="1:24" ht="15.75" thickBot="1" x14ac:dyDescent="0.25">
      <c r="A33" s="123"/>
      <c r="B33" s="120"/>
      <c r="C33" s="51" t="s">
        <v>72</v>
      </c>
      <c r="D33" s="65">
        <f>D44</f>
        <v>0</v>
      </c>
      <c r="E33" s="18">
        <f>E44+M56</f>
        <v>164160</v>
      </c>
      <c r="F33" s="49">
        <f>D33+E33*DurationYrs</f>
        <v>820800</v>
      </c>
      <c r="G33" s="120"/>
      <c r="H33" s="120"/>
      <c r="I33" s="120"/>
      <c r="J33" s="123"/>
      <c r="K33" s="123"/>
      <c r="L33" s="123"/>
      <c r="M33" s="123"/>
      <c r="N33" s="123"/>
      <c r="O33" s="26"/>
      <c r="P33" s="123"/>
      <c r="Q33" s="123"/>
      <c r="R33" s="123"/>
      <c r="S33" s="123"/>
      <c r="T33" s="123"/>
      <c r="U33" s="123"/>
      <c r="V33" s="123"/>
      <c r="W33" s="123"/>
      <c r="X33" s="123"/>
    </row>
    <row r="34" spans="1:24" x14ac:dyDescent="0.2">
      <c r="A34" s="123"/>
      <c r="B34" s="120"/>
      <c r="C34" s="120"/>
      <c r="D34" s="120"/>
      <c r="E34" s="120"/>
      <c r="F34" s="120"/>
      <c r="G34" s="120"/>
      <c r="H34" s="120"/>
      <c r="I34" s="120"/>
      <c r="J34" s="123"/>
      <c r="K34" s="123"/>
      <c r="L34" s="123"/>
      <c r="M34" s="123"/>
      <c r="N34" s="123"/>
      <c r="O34" s="26"/>
      <c r="P34" s="123"/>
      <c r="Q34" s="123"/>
      <c r="R34" s="123"/>
      <c r="S34" s="123"/>
      <c r="T34" s="123"/>
      <c r="U34" s="123"/>
      <c r="V34" s="123"/>
      <c r="W34" s="123"/>
      <c r="X34" s="123"/>
    </row>
    <row r="35" spans="1:24" ht="16.5" x14ac:dyDescent="0.2">
      <c r="A35" s="123"/>
      <c r="B35" s="64" t="s">
        <v>73</v>
      </c>
      <c r="C35" s="120"/>
      <c r="D35" s="120"/>
      <c r="E35" s="120"/>
      <c r="F35" s="120"/>
      <c r="G35" s="120"/>
      <c r="H35" s="120"/>
      <c r="I35" s="120"/>
      <c r="J35" s="123"/>
      <c r="K35" s="123"/>
      <c r="L35" s="123"/>
      <c r="M35" s="123"/>
      <c r="N35" s="123"/>
      <c r="O35" s="26"/>
      <c r="P35" s="123"/>
      <c r="Q35" s="123"/>
      <c r="R35" s="123"/>
      <c r="S35" s="123"/>
      <c r="T35" s="123"/>
      <c r="U35" s="123"/>
      <c r="V35" s="123"/>
      <c r="W35" s="123"/>
      <c r="X35" s="123"/>
    </row>
    <row r="36" spans="1:24" ht="15.75" thickBot="1" x14ac:dyDescent="0.25">
      <c r="A36" s="123"/>
      <c r="B36" s="120"/>
      <c r="C36" s="144" t="s">
        <v>74</v>
      </c>
      <c r="D36" s="144"/>
      <c r="E36" s="144"/>
      <c r="F36" s="144"/>
      <c r="G36" s="120"/>
      <c r="H36" s="120"/>
      <c r="I36" s="120"/>
      <c r="J36" s="123"/>
      <c r="K36" s="123"/>
      <c r="L36" s="123"/>
      <c r="M36" s="123"/>
      <c r="N36" s="123"/>
      <c r="O36" s="26"/>
      <c r="P36" s="123"/>
      <c r="Q36" s="123"/>
      <c r="R36" s="123"/>
      <c r="S36" s="123"/>
      <c r="T36" s="123"/>
      <c r="U36" s="123"/>
      <c r="V36" s="123"/>
      <c r="W36" s="123"/>
      <c r="X36" s="123"/>
    </row>
    <row r="37" spans="1:24" ht="16.5" thickBot="1" x14ac:dyDescent="0.3">
      <c r="A37" s="123"/>
      <c r="B37" s="123"/>
      <c r="C37" s="122" t="s">
        <v>41</v>
      </c>
      <c r="D37" s="122" t="s">
        <v>42</v>
      </c>
      <c r="E37" s="122" t="s">
        <v>25</v>
      </c>
      <c r="F37" s="122" t="s">
        <v>26</v>
      </c>
      <c r="G37" s="123"/>
      <c r="H37" s="123"/>
      <c r="I37" s="123"/>
      <c r="J37" s="123"/>
      <c r="K37" s="123"/>
      <c r="L37" s="123"/>
      <c r="M37" s="123"/>
      <c r="N37" s="123"/>
      <c r="O37" s="26"/>
      <c r="P37" s="123"/>
      <c r="Q37" s="123"/>
      <c r="R37" s="123"/>
      <c r="S37" s="123"/>
      <c r="T37" s="123"/>
      <c r="U37" s="123"/>
      <c r="V37" s="123"/>
      <c r="W37" s="123"/>
      <c r="X37" s="123"/>
    </row>
    <row r="38" spans="1:24" ht="15.75" thickBot="1" x14ac:dyDescent="0.25">
      <c r="A38" s="123"/>
      <c r="B38" s="123"/>
      <c r="C38" s="66" t="str">
        <f>"Software, Hardware"</f>
        <v>Software, Hardware</v>
      </c>
      <c r="D38" s="67">
        <f>0</f>
        <v>0</v>
      </c>
      <c r="E38" s="68">
        <f>D81</f>
        <v>0</v>
      </c>
      <c r="F38" s="49">
        <f t="shared" ref="F38:F43" si="2">D38+E38*DurationYrs</f>
        <v>0</v>
      </c>
      <c r="G38" s="123"/>
      <c r="H38" s="123"/>
      <c r="I38" s="123"/>
      <c r="J38" s="123"/>
      <c r="K38" s="123"/>
      <c r="L38" s="123"/>
      <c r="M38" s="123"/>
      <c r="N38" s="123"/>
      <c r="O38" s="26"/>
      <c r="P38" s="123"/>
      <c r="Q38" s="123"/>
      <c r="R38" s="123"/>
      <c r="S38" s="123"/>
      <c r="T38" s="123"/>
      <c r="U38" s="123"/>
      <c r="V38" s="123"/>
      <c r="W38" s="123"/>
      <c r="X38" s="123"/>
    </row>
    <row r="39" spans="1:24" ht="15.75" thickBot="1" x14ac:dyDescent="0.25">
      <c r="A39" s="123"/>
      <c r="B39" s="123"/>
      <c r="C39" s="66" t="str">
        <f>"Services"</f>
        <v>Services</v>
      </c>
      <c r="D39" s="67">
        <f>C82</f>
        <v>0</v>
      </c>
      <c r="E39" s="68">
        <f>D82</f>
        <v>0</v>
      </c>
      <c r="F39" s="49">
        <f t="shared" si="2"/>
        <v>0</v>
      </c>
      <c r="G39" s="123"/>
      <c r="H39" s="123"/>
      <c r="I39" s="123"/>
      <c r="J39" s="123"/>
      <c r="K39" s="123"/>
      <c r="L39" s="123"/>
      <c r="M39" s="123"/>
      <c r="N39" s="123"/>
      <c r="O39" s="26"/>
      <c r="P39" s="123"/>
      <c r="Q39" s="123"/>
      <c r="R39" s="123"/>
      <c r="S39" s="123"/>
      <c r="T39" s="123"/>
      <c r="U39" s="123"/>
      <c r="V39" s="123"/>
      <c r="W39" s="123"/>
      <c r="X39" s="123"/>
    </row>
    <row r="40" spans="1:24" ht="15.75" thickBot="1" x14ac:dyDescent="0.25">
      <c r="A40" s="123"/>
      <c r="B40" s="123"/>
      <c r="C40" s="66" t="str">
        <f>"Travel Expenses"</f>
        <v>Travel Expenses</v>
      </c>
      <c r="D40" s="67">
        <f>C83</f>
        <v>0</v>
      </c>
      <c r="E40" s="68">
        <f>D83</f>
        <v>0</v>
      </c>
      <c r="F40" s="49">
        <f t="shared" si="2"/>
        <v>0</v>
      </c>
      <c r="G40" s="123"/>
      <c r="H40" s="123"/>
      <c r="I40" s="123"/>
      <c r="J40" s="123"/>
      <c r="K40" s="123"/>
      <c r="L40" s="123"/>
      <c r="M40" s="123"/>
      <c r="N40" s="123"/>
      <c r="O40" s="26"/>
      <c r="P40" s="123"/>
      <c r="Q40" s="123"/>
      <c r="R40" s="123"/>
      <c r="S40" s="123"/>
      <c r="T40" s="123"/>
      <c r="U40" s="123"/>
      <c r="V40" s="123"/>
      <c r="W40" s="123"/>
      <c r="X40" s="123"/>
    </row>
    <row r="41" spans="1:24" ht="15.75" thickBot="1" x14ac:dyDescent="0.25">
      <c r="A41" s="123"/>
      <c r="B41" s="123"/>
      <c r="C41" s="66" t="str">
        <f>"Electricity Costs"</f>
        <v>Electricity Costs</v>
      </c>
      <c r="D41" s="67">
        <f>C84</f>
        <v>0</v>
      </c>
      <c r="E41" s="68">
        <f>D84</f>
        <v>0</v>
      </c>
      <c r="F41" s="49">
        <f t="shared" si="2"/>
        <v>0</v>
      </c>
      <c r="G41" s="123"/>
      <c r="H41" s="123"/>
      <c r="I41" s="123"/>
      <c r="J41" s="123"/>
      <c r="K41" s="123"/>
      <c r="L41" s="123"/>
      <c r="M41" s="123"/>
      <c r="N41" s="123"/>
      <c r="O41" s="26"/>
      <c r="P41" s="123"/>
      <c r="Q41" s="123"/>
      <c r="R41" s="123"/>
      <c r="S41" s="123"/>
      <c r="T41" s="123"/>
      <c r="U41" s="123"/>
      <c r="V41" s="123"/>
      <c r="W41" s="123"/>
      <c r="X41" s="123"/>
    </row>
    <row r="42" spans="1:24" ht="15.75" thickBot="1" x14ac:dyDescent="0.25">
      <c r="A42" s="123"/>
      <c r="B42" s="123"/>
      <c r="C42" s="66" t="str">
        <f>"Risk"</f>
        <v>Risk</v>
      </c>
      <c r="D42" s="67">
        <f>C85</f>
        <v>0</v>
      </c>
      <c r="E42" s="68">
        <f>D85</f>
        <v>0</v>
      </c>
      <c r="F42" s="49">
        <f t="shared" si="2"/>
        <v>0</v>
      </c>
      <c r="G42" s="123"/>
      <c r="H42" s="123"/>
      <c r="I42" s="123"/>
      <c r="J42" s="123"/>
      <c r="K42" s="123"/>
      <c r="L42" s="123"/>
      <c r="M42" s="123"/>
      <c r="N42" s="123"/>
      <c r="O42" s="26"/>
      <c r="P42" s="123"/>
      <c r="Q42" s="123"/>
      <c r="R42" s="123"/>
      <c r="S42" s="123"/>
      <c r="T42" s="123"/>
      <c r="U42" s="123"/>
      <c r="V42" s="123"/>
      <c r="W42" s="123"/>
      <c r="X42" s="123"/>
    </row>
    <row r="43" spans="1:24" ht="15.75" thickBot="1" x14ac:dyDescent="0.25">
      <c r="A43" s="123"/>
      <c r="B43" s="123"/>
      <c r="C43" s="69" t="str">
        <f>"Other"</f>
        <v>Other</v>
      </c>
      <c r="D43" s="70">
        <f>C85</f>
        <v>0</v>
      </c>
      <c r="E43" s="71">
        <f t="shared" ref="E43" si="3">D85</f>
        <v>0</v>
      </c>
      <c r="F43" s="49">
        <f t="shared" si="2"/>
        <v>0</v>
      </c>
      <c r="G43" s="123"/>
      <c r="H43" s="123"/>
      <c r="I43" s="123"/>
      <c r="J43" s="123"/>
      <c r="K43" s="123"/>
      <c r="L43" s="123"/>
      <c r="M43" s="123"/>
      <c r="N43" s="123"/>
      <c r="O43" s="26"/>
      <c r="P43" s="123"/>
      <c r="Q43" s="123"/>
      <c r="R43" s="123"/>
      <c r="S43" s="123"/>
      <c r="T43" s="123"/>
      <c r="U43" s="123"/>
      <c r="V43" s="123"/>
      <c r="W43" s="123"/>
      <c r="X43" s="123"/>
    </row>
    <row r="44" spans="1:24" ht="15.75" thickTop="1" x14ac:dyDescent="0.2">
      <c r="A44" s="123"/>
      <c r="B44" s="123"/>
      <c r="C44" s="33" t="s">
        <v>27</v>
      </c>
      <c r="D44" s="36">
        <f>SUM(D38:D43)</f>
        <v>0</v>
      </c>
      <c r="E44" s="36">
        <f>SUM(E38:E43)</f>
        <v>0</v>
      </c>
      <c r="F44" s="38">
        <f>SUM(F38:F43)</f>
        <v>0</v>
      </c>
      <c r="G44" s="123"/>
      <c r="H44" s="123"/>
      <c r="I44" s="123"/>
      <c r="J44" s="123"/>
      <c r="K44" s="123"/>
      <c r="L44" s="123"/>
      <c r="M44" s="123"/>
      <c r="N44" s="123"/>
      <c r="O44" s="26"/>
      <c r="P44" s="123"/>
      <c r="Q44" s="123"/>
      <c r="R44" s="123"/>
      <c r="S44" s="123"/>
      <c r="T44" s="123"/>
      <c r="U44" s="123"/>
      <c r="V44" s="123"/>
      <c r="W44" s="123"/>
      <c r="X44" s="123"/>
    </row>
    <row r="45" spans="1:24" x14ac:dyDescent="0.2">
      <c r="A45" s="123"/>
      <c r="B45" s="123"/>
      <c r="C45" s="123"/>
      <c r="D45" s="123"/>
      <c r="E45" s="123"/>
      <c r="F45" s="123"/>
      <c r="G45" s="123"/>
      <c r="H45" s="123"/>
      <c r="I45" s="123"/>
      <c r="J45" s="123"/>
      <c r="K45" s="123"/>
      <c r="L45" s="123"/>
      <c r="M45" s="123"/>
      <c r="N45" s="123"/>
      <c r="O45" s="26"/>
      <c r="P45" s="123"/>
      <c r="Q45" s="123"/>
      <c r="R45" s="123"/>
      <c r="S45" s="123"/>
      <c r="T45" s="123"/>
      <c r="U45" s="123"/>
      <c r="V45" s="123"/>
      <c r="W45" s="123"/>
      <c r="X45" s="123"/>
    </row>
    <row r="46" spans="1:24" ht="16.5" x14ac:dyDescent="0.2">
      <c r="A46" s="123"/>
      <c r="B46" s="64" t="s">
        <v>75</v>
      </c>
      <c r="C46" s="120"/>
      <c r="D46" s="120"/>
      <c r="E46" s="120"/>
      <c r="F46" s="120"/>
      <c r="G46" s="120"/>
      <c r="H46" s="120"/>
      <c r="I46" s="120"/>
      <c r="J46" s="123"/>
      <c r="K46" s="123"/>
      <c r="L46" s="123"/>
      <c r="M46" s="123"/>
      <c r="N46" s="123"/>
      <c r="O46" s="26"/>
      <c r="P46" s="123"/>
      <c r="Q46" s="123"/>
      <c r="R46" s="123"/>
      <c r="S46" s="123"/>
      <c r="T46" s="123"/>
      <c r="U46" s="123"/>
      <c r="V46" s="123"/>
      <c r="W46" s="123"/>
      <c r="X46" s="123"/>
    </row>
    <row r="47" spans="1:24" ht="17.25" thickBot="1" x14ac:dyDescent="0.25">
      <c r="A47" s="123"/>
      <c r="B47" s="64"/>
      <c r="C47" s="132" t="s">
        <v>76</v>
      </c>
      <c r="D47" s="132"/>
      <c r="E47" s="132"/>
      <c r="F47" s="132"/>
      <c r="G47" s="132"/>
      <c r="H47" s="132"/>
      <c r="I47" s="132"/>
      <c r="J47" s="132"/>
      <c r="K47" s="132"/>
      <c r="L47" s="132"/>
      <c r="M47" s="132"/>
      <c r="N47" s="123"/>
      <c r="O47" s="26"/>
      <c r="P47" s="123"/>
      <c r="Q47" s="123"/>
      <c r="R47" s="123"/>
      <c r="S47" s="123"/>
      <c r="T47" s="123"/>
      <c r="U47" s="123"/>
      <c r="V47" s="123"/>
      <c r="W47" s="123"/>
      <c r="X47" s="123"/>
    </row>
    <row r="48" spans="1:24" ht="32.25" customHeight="1" thickBot="1" x14ac:dyDescent="0.3">
      <c r="A48" s="123"/>
      <c r="B48" s="120"/>
      <c r="C48" s="123"/>
      <c r="D48" s="120"/>
      <c r="E48" s="136" t="s">
        <v>45</v>
      </c>
      <c r="F48" s="136"/>
      <c r="G48" s="136"/>
      <c r="H48" s="142" t="s">
        <v>77</v>
      </c>
      <c r="I48" s="143"/>
      <c r="J48" s="148" t="s">
        <v>78</v>
      </c>
      <c r="K48" s="148"/>
      <c r="L48" s="148"/>
      <c r="M48" s="136" t="s">
        <v>79</v>
      </c>
      <c r="N48" s="123"/>
      <c r="O48" s="26"/>
      <c r="P48" s="123"/>
      <c r="Q48" s="123"/>
      <c r="R48" s="123"/>
      <c r="S48" s="123"/>
      <c r="T48" s="123"/>
      <c r="U48" s="123"/>
      <c r="V48" s="123"/>
      <c r="W48" s="123"/>
      <c r="X48" s="123"/>
    </row>
    <row r="49" spans="1:24" ht="16.5" thickBot="1" x14ac:dyDescent="0.3">
      <c r="A49" s="123"/>
      <c r="B49" s="123"/>
      <c r="C49" s="122" t="s">
        <v>41</v>
      </c>
      <c r="D49" s="122" t="s">
        <v>80</v>
      </c>
      <c r="E49" s="122" t="s">
        <v>81</v>
      </c>
      <c r="F49" s="122" t="s">
        <v>82</v>
      </c>
      <c r="G49" s="122" t="s">
        <v>26</v>
      </c>
      <c r="H49" s="52" t="s">
        <v>81</v>
      </c>
      <c r="I49" s="52" t="s">
        <v>82</v>
      </c>
      <c r="J49" s="20" t="s">
        <v>81</v>
      </c>
      <c r="K49" s="20" t="s">
        <v>82</v>
      </c>
      <c r="L49" s="20" t="s">
        <v>26</v>
      </c>
      <c r="M49" s="136"/>
      <c r="N49" s="123"/>
      <c r="O49" s="26"/>
      <c r="P49" s="123"/>
      <c r="Q49" s="123"/>
      <c r="R49" s="123"/>
      <c r="S49" s="123"/>
      <c r="T49" s="123"/>
      <c r="U49" s="123"/>
      <c r="V49" s="123"/>
      <c r="W49" s="123"/>
      <c r="X49" s="123"/>
    </row>
    <row r="50" spans="1:24" ht="15.75" thickBot="1" x14ac:dyDescent="0.25">
      <c r="A50" s="123"/>
      <c r="B50" s="123"/>
      <c r="C50" s="66" t="str">
        <f>"Software, Hardware"</f>
        <v>Software, Hardware</v>
      </c>
      <c r="D50" s="66" t="str">
        <f>"Servers"</f>
        <v>Servers</v>
      </c>
      <c r="E50" s="72">
        <f>Users/50</f>
        <v>9.1199999999999992</v>
      </c>
      <c r="F50" s="68">
        <f>5000</f>
        <v>5000</v>
      </c>
      <c r="G50" s="103">
        <f>F50*E50</f>
        <v>45599.999999999993</v>
      </c>
      <c r="H50" s="73">
        <f>0.1</f>
        <v>0.1</v>
      </c>
      <c r="I50" s="74">
        <f>0</f>
        <v>0</v>
      </c>
      <c r="J50" s="53">
        <f>E50*(1-H50)</f>
        <v>8.2080000000000002</v>
      </c>
      <c r="K50" s="9">
        <f t="shared" ref="K50:K55" si="4">F50*(1-I50)</f>
        <v>5000</v>
      </c>
      <c r="L50" s="100">
        <f>K50*J50</f>
        <v>41040</v>
      </c>
      <c r="M50" s="100">
        <f>G50-L50</f>
        <v>4559.9999999999927</v>
      </c>
      <c r="N50" s="123"/>
      <c r="O50" s="26"/>
      <c r="P50" s="123"/>
      <c r="Q50" s="123"/>
      <c r="R50" s="123"/>
      <c r="S50" s="123"/>
      <c r="T50" s="123"/>
      <c r="U50" s="123"/>
      <c r="V50" s="123"/>
      <c r="W50" s="123"/>
      <c r="X50" s="123"/>
    </row>
    <row r="51" spans="1:24" ht="15.75" thickBot="1" x14ac:dyDescent="0.25">
      <c r="A51" s="123"/>
      <c r="B51" s="123"/>
      <c r="C51" s="66" t="str">
        <f>"Travel Expenses"</f>
        <v>Travel Expenses</v>
      </c>
      <c r="D51" s="66" t="str">
        <f>"Trips / yr"</f>
        <v>Trips / yr</v>
      </c>
      <c r="E51" s="72">
        <f>Users*6</f>
        <v>2736</v>
      </c>
      <c r="F51" s="68">
        <f>1000</f>
        <v>1000</v>
      </c>
      <c r="G51" s="103">
        <f t="shared" ref="G51:G55" si="5">F51*E51</f>
        <v>2736000</v>
      </c>
      <c r="H51" s="73">
        <f>0.05</f>
        <v>0.05</v>
      </c>
      <c r="I51" s="74">
        <f>0</f>
        <v>0</v>
      </c>
      <c r="J51" s="53">
        <f t="shared" ref="J51:J55" si="6">E51*(1-H51)</f>
        <v>2599.1999999999998</v>
      </c>
      <c r="K51" s="9">
        <f t="shared" si="4"/>
        <v>1000</v>
      </c>
      <c r="L51" s="100">
        <f t="shared" ref="L51:L55" si="7">K51*J51</f>
        <v>2599200</v>
      </c>
      <c r="M51" s="100">
        <f t="shared" ref="M51:M55" si="8">G51-L51</f>
        <v>136800</v>
      </c>
      <c r="N51" s="123"/>
      <c r="O51" s="26"/>
      <c r="P51" s="123"/>
      <c r="Q51" s="123"/>
      <c r="R51" s="123"/>
      <c r="S51" s="123"/>
      <c r="T51" s="123"/>
      <c r="U51" s="123"/>
      <c r="V51" s="123"/>
      <c r="W51" s="123"/>
      <c r="X51" s="123"/>
    </row>
    <row r="52" spans="1:24" ht="15.75" thickBot="1" x14ac:dyDescent="0.25">
      <c r="A52" s="123"/>
      <c r="B52" s="123"/>
      <c r="C52" s="66" t="str">
        <f>"Services"</f>
        <v>Services</v>
      </c>
      <c r="D52" s="66" t="str">
        <f>"Incidents/yr"</f>
        <v>Incidents/yr</v>
      </c>
      <c r="E52" s="72">
        <f>Users</f>
        <v>456</v>
      </c>
      <c r="F52" s="68">
        <f>1000</f>
        <v>1000</v>
      </c>
      <c r="G52" s="103">
        <f t="shared" si="5"/>
        <v>456000</v>
      </c>
      <c r="H52" s="73">
        <f>0</f>
        <v>0</v>
      </c>
      <c r="I52" s="74">
        <f>0.05</f>
        <v>0.05</v>
      </c>
      <c r="J52" s="53">
        <f t="shared" si="6"/>
        <v>456</v>
      </c>
      <c r="K52" s="9">
        <f t="shared" si="4"/>
        <v>950</v>
      </c>
      <c r="L52" s="100">
        <f t="shared" si="7"/>
        <v>433200</v>
      </c>
      <c r="M52" s="100">
        <f t="shared" si="8"/>
        <v>22800</v>
      </c>
      <c r="N52" s="123"/>
      <c r="O52" s="26"/>
      <c r="P52" s="123"/>
      <c r="Q52" s="123"/>
      <c r="R52" s="123"/>
      <c r="S52" s="123"/>
      <c r="T52" s="123"/>
      <c r="U52" s="123"/>
      <c r="V52" s="123"/>
      <c r="W52" s="123"/>
      <c r="X52" s="123"/>
    </row>
    <row r="53" spans="1:24" ht="15.75" thickBot="1" x14ac:dyDescent="0.25">
      <c r="A53" s="123"/>
      <c r="B53" s="123"/>
      <c r="C53" s="66" t="str">
        <f>"Electricity Costs"</f>
        <v>Electricity Costs</v>
      </c>
      <c r="D53" s="66" t="str">
        <f>"kw-Hrs/yr"</f>
        <v>kw-Hrs/yr</v>
      </c>
      <c r="E53" s="72">
        <f>D94</f>
        <v>0</v>
      </c>
      <c r="F53" s="68">
        <f>E94</f>
        <v>0</v>
      </c>
      <c r="G53" s="103">
        <f t="shared" si="5"/>
        <v>0</v>
      </c>
      <c r="H53" s="73">
        <f>0</f>
        <v>0</v>
      </c>
      <c r="I53" s="74">
        <f>0</f>
        <v>0</v>
      </c>
      <c r="J53" s="53">
        <f t="shared" si="6"/>
        <v>0</v>
      </c>
      <c r="K53" s="9">
        <f t="shared" si="4"/>
        <v>0</v>
      </c>
      <c r="L53" s="100">
        <f t="shared" si="7"/>
        <v>0</v>
      </c>
      <c r="M53" s="100">
        <f t="shared" si="8"/>
        <v>0</v>
      </c>
      <c r="N53" s="123"/>
      <c r="O53" s="26"/>
      <c r="P53" s="123"/>
      <c r="Q53" s="123"/>
      <c r="R53" s="123"/>
      <c r="S53" s="123"/>
      <c r="T53" s="123"/>
      <c r="U53" s="123"/>
      <c r="V53" s="123"/>
      <c r="W53" s="123"/>
      <c r="X53" s="123"/>
    </row>
    <row r="54" spans="1:24" ht="15.75" thickBot="1" x14ac:dyDescent="0.25">
      <c r="A54" s="123"/>
      <c r="B54" s="123"/>
      <c r="C54" s="66" t="str">
        <f>"Risk"</f>
        <v>Risk</v>
      </c>
      <c r="D54" s="66" t="str">
        <f>"Incidents/yr"</f>
        <v>Incidents/yr</v>
      </c>
      <c r="E54" s="72">
        <f>D95</f>
        <v>0</v>
      </c>
      <c r="F54" s="68">
        <f>E95</f>
        <v>0</v>
      </c>
      <c r="G54" s="103">
        <f t="shared" si="5"/>
        <v>0</v>
      </c>
      <c r="H54" s="73">
        <f>0</f>
        <v>0</v>
      </c>
      <c r="I54" s="74">
        <f>0</f>
        <v>0</v>
      </c>
      <c r="J54" s="53">
        <f t="shared" si="6"/>
        <v>0</v>
      </c>
      <c r="K54" s="9">
        <f t="shared" si="4"/>
        <v>0</v>
      </c>
      <c r="L54" s="100">
        <f t="shared" si="7"/>
        <v>0</v>
      </c>
      <c r="M54" s="100">
        <f t="shared" si="8"/>
        <v>0</v>
      </c>
      <c r="N54" s="123"/>
      <c r="O54" s="26"/>
      <c r="P54" s="123"/>
      <c r="Q54" s="123"/>
      <c r="R54" s="123"/>
      <c r="S54" s="123"/>
      <c r="T54" s="123"/>
      <c r="U54" s="123"/>
      <c r="V54" s="123"/>
      <c r="W54" s="123"/>
      <c r="X54" s="123"/>
    </row>
    <row r="55" spans="1:24" ht="15.75" thickBot="1" x14ac:dyDescent="0.25">
      <c r="A55" s="123"/>
      <c r="B55" s="123"/>
      <c r="C55" s="69" t="str">
        <f>"Other"</f>
        <v>Other</v>
      </c>
      <c r="D55" s="75"/>
      <c r="E55" s="76">
        <f>D95</f>
        <v>0</v>
      </c>
      <c r="F55" s="18">
        <f>E95</f>
        <v>0</v>
      </c>
      <c r="G55" s="103">
        <f t="shared" si="5"/>
        <v>0</v>
      </c>
      <c r="H55" s="77">
        <f>0</f>
        <v>0</v>
      </c>
      <c r="I55" s="19">
        <f>0</f>
        <v>0</v>
      </c>
      <c r="J55" s="53">
        <f t="shared" si="6"/>
        <v>0</v>
      </c>
      <c r="K55" s="9">
        <f t="shared" si="4"/>
        <v>0</v>
      </c>
      <c r="L55" s="100">
        <f t="shared" si="7"/>
        <v>0</v>
      </c>
      <c r="M55" s="100">
        <f t="shared" si="8"/>
        <v>0</v>
      </c>
      <c r="N55" s="123"/>
      <c r="O55" s="26"/>
      <c r="P55" s="123"/>
      <c r="Q55" s="123"/>
      <c r="R55" s="123"/>
      <c r="S55" s="123"/>
      <c r="T55" s="123"/>
      <c r="U55" s="123"/>
      <c r="V55" s="123"/>
      <c r="W55" s="123"/>
      <c r="X55" s="123"/>
    </row>
    <row r="56" spans="1:24" ht="15.75" thickTop="1" x14ac:dyDescent="0.2">
      <c r="A56" s="123"/>
      <c r="B56" s="123"/>
      <c r="C56" s="33" t="s">
        <v>27</v>
      </c>
      <c r="D56" s="123"/>
      <c r="E56" s="123"/>
      <c r="F56" s="123"/>
      <c r="G56" s="102">
        <f>SUM(G50:G55)</f>
        <v>3237600</v>
      </c>
      <c r="H56" s="123"/>
      <c r="I56" s="123"/>
      <c r="J56" s="123"/>
      <c r="K56" s="123"/>
      <c r="L56" s="102">
        <f>SUM(L50:L55)</f>
        <v>3073440</v>
      </c>
      <c r="M56" s="102">
        <f>SUM(M50:M55)</f>
        <v>164160</v>
      </c>
      <c r="N56" s="123"/>
      <c r="O56" s="26"/>
      <c r="P56" s="123"/>
      <c r="Q56" s="123"/>
      <c r="R56" s="123"/>
      <c r="S56" s="123"/>
      <c r="T56" s="123"/>
      <c r="U56" s="123"/>
      <c r="V56" s="123"/>
      <c r="W56" s="123"/>
      <c r="X56" s="123"/>
    </row>
    <row r="57" spans="1:24" ht="11.25" customHeight="1" thickBot="1" x14ac:dyDescent="0.25">
      <c r="A57" s="123"/>
      <c r="B57" s="123"/>
      <c r="C57" s="123"/>
      <c r="D57" s="123"/>
      <c r="E57" s="123"/>
      <c r="F57" s="123"/>
      <c r="G57" s="123"/>
      <c r="H57" s="123"/>
      <c r="I57" s="123"/>
      <c r="J57" s="123"/>
      <c r="K57" s="123"/>
      <c r="L57" s="123"/>
      <c r="M57" s="123"/>
      <c r="N57" s="123"/>
      <c r="O57" s="26"/>
      <c r="P57" s="123"/>
      <c r="Q57" s="123"/>
      <c r="R57" s="123"/>
      <c r="S57" s="123"/>
      <c r="T57" s="123"/>
      <c r="U57" s="123"/>
      <c r="V57" s="123"/>
      <c r="W57" s="123"/>
      <c r="X57" s="123"/>
    </row>
    <row r="58" spans="1:24" ht="27" customHeight="1" thickBot="1" x14ac:dyDescent="0.25">
      <c r="A58" s="123"/>
      <c r="B58" s="123"/>
      <c r="C58" s="133" t="str">
        <f>"Comments"</f>
        <v>Comments</v>
      </c>
      <c r="D58" s="134"/>
      <c r="E58" s="134"/>
      <c r="F58" s="134"/>
      <c r="G58" s="134"/>
      <c r="H58" s="134"/>
      <c r="I58" s="134"/>
      <c r="J58" s="134"/>
      <c r="K58" s="134"/>
      <c r="L58" s="135"/>
      <c r="M58" s="123"/>
      <c r="N58" s="123"/>
      <c r="O58" s="26"/>
      <c r="P58" s="123"/>
      <c r="Q58" s="123"/>
      <c r="R58" s="123"/>
      <c r="S58" s="123"/>
      <c r="T58" s="123"/>
      <c r="U58" s="123"/>
      <c r="V58" s="123"/>
      <c r="W58" s="123"/>
      <c r="X58" s="123"/>
    </row>
    <row r="59" spans="1:24" ht="8.25" customHeight="1" x14ac:dyDescent="0.2">
      <c r="A59" s="123"/>
      <c r="B59" s="123"/>
      <c r="C59" s="123"/>
      <c r="D59" s="123"/>
      <c r="E59" s="123"/>
      <c r="F59" s="123"/>
      <c r="G59" s="123"/>
      <c r="H59" s="123"/>
      <c r="I59" s="123"/>
      <c r="J59" s="123"/>
      <c r="K59" s="123"/>
      <c r="L59" s="123"/>
      <c r="M59" s="123"/>
      <c r="N59" s="123"/>
      <c r="O59" s="26"/>
      <c r="P59" s="123"/>
      <c r="Q59" s="123"/>
      <c r="R59" s="123"/>
      <c r="S59" s="123"/>
      <c r="T59" s="123"/>
      <c r="U59" s="123"/>
      <c r="V59" s="123"/>
      <c r="W59" s="123"/>
      <c r="X59" s="123"/>
    </row>
    <row r="60" spans="1:24" ht="20.25" thickBot="1" x14ac:dyDescent="0.35">
      <c r="A60" s="3" t="str">
        <f>C9</f>
        <v>Productivity Savings</v>
      </c>
      <c r="B60" s="3"/>
      <c r="C60" s="3"/>
      <c r="D60" s="3"/>
      <c r="E60" s="3"/>
      <c r="F60" s="3"/>
      <c r="G60" s="3"/>
      <c r="H60" s="3"/>
      <c r="I60" s="3"/>
      <c r="J60" s="3"/>
      <c r="K60" s="3"/>
      <c r="L60" s="3"/>
      <c r="M60" s="3"/>
      <c r="N60" s="123"/>
      <c r="O60" s="26"/>
      <c r="P60" s="123"/>
      <c r="Q60" s="123"/>
      <c r="R60" s="123"/>
      <c r="S60" s="123"/>
      <c r="T60" s="123"/>
      <c r="U60" s="123"/>
      <c r="V60" s="123"/>
      <c r="W60" s="123"/>
      <c r="X60" s="123"/>
    </row>
    <row r="61" spans="1:24" ht="18" thickTop="1" thickBot="1" x14ac:dyDescent="0.25">
      <c r="A61" s="123"/>
      <c r="B61" s="64"/>
      <c r="C61" s="132" t="s">
        <v>83</v>
      </c>
      <c r="D61" s="132"/>
      <c r="E61" s="132"/>
      <c r="F61" s="132"/>
      <c r="G61" s="132"/>
      <c r="H61" s="132"/>
      <c r="I61" s="132"/>
      <c r="J61" s="132"/>
      <c r="K61" s="132"/>
      <c r="L61" s="132"/>
      <c r="M61" s="132"/>
      <c r="N61" s="123"/>
      <c r="O61" s="26"/>
      <c r="P61" s="123"/>
      <c r="Q61" s="123"/>
      <c r="R61" s="123"/>
      <c r="S61" s="123"/>
      <c r="T61" s="123"/>
      <c r="U61" s="123"/>
      <c r="V61" s="123"/>
      <c r="W61" s="123"/>
      <c r="X61" s="123"/>
    </row>
    <row r="62" spans="1:24" ht="36.75" customHeight="1" thickBot="1" x14ac:dyDescent="0.3">
      <c r="A62" s="123"/>
      <c r="B62" s="123"/>
      <c r="C62" s="123"/>
      <c r="D62" s="136" t="s">
        <v>84</v>
      </c>
      <c r="E62" s="136"/>
      <c r="F62" s="136"/>
      <c r="G62" s="136" t="s">
        <v>85</v>
      </c>
      <c r="H62" s="136" t="s">
        <v>86</v>
      </c>
      <c r="I62" s="136" t="s">
        <v>87</v>
      </c>
      <c r="J62" s="136" t="s">
        <v>88</v>
      </c>
      <c r="K62" s="136" t="s">
        <v>89</v>
      </c>
      <c r="L62" s="123"/>
      <c r="M62" s="123"/>
      <c r="N62" s="123"/>
      <c r="O62" s="26"/>
      <c r="P62" s="123"/>
      <c r="Q62" s="123"/>
      <c r="R62" s="123"/>
      <c r="S62" s="123"/>
      <c r="T62" s="123"/>
      <c r="U62" s="123"/>
      <c r="V62" s="123"/>
      <c r="W62" s="123"/>
      <c r="X62" s="123"/>
    </row>
    <row r="63" spans="1:24" ht="31.5" customHeight="1" thickBot="1" x14ac:dyDescent="0.3">
      <c r="A63" s="123"/>
      <c r="B63" s="123"/>
      <c r="C63" s="122" t="s">
        <v>90</v>
      </c>
      <c r="D63" s="122" t="s">
        <v>45</v>
      </c>
      <c r="E63" s="122" t="s">
        <v>91</v>
      </c>
      <c r="F63" s="122" t="s">
        <v>47</v>
      </c>
      <c r="G63" s="136"/>
      <c r="H63" s="145"/>
      <c r="I63" s="136"/>
      <c r="J63" s="145"/>
      <c r="K63" s="136"/>
      <c r="L63" s="123"/>
      <c r="M63" s="123"/>
      <c r="N63" s="123"/>
      <c r="O63" s="26"/>
      <c r="P63" s="123"/>
      <c r="Q63" s="123"/>
      <c r="R63" s="123"/>
      <c r="S63" s="123"/>
      <c r="T63" s="123"/>
      <c r="U63" s="123"/>
      <c r="V63" s="123"/>
      <c r="W63" s="123"/>
      <c r="X63" s="123"/>
    </row>
    <row r="64" spans="1:24" ht="15.75" thickBot="1" x14ac:dyDescent="0.25">
      <c r="A64" s="123"/>
      <c r="B64" s="123"/>
      <c r="C64" s="66" t="str">
        <f>"Business process"</f>
        <v>Business process</v>
      </c>
      <c r="D64" s="72">
        <f>15</f>
        <v>15</v>
      </c>
      <c r="E64" s="74">
        <f>0.1</f>
        <v>0.1</v>
      </c>
      <c r="F64" s="53">
        <f>D64*(1-E64)</f>
        <v>13.5</v>
      </c>
      <c r="G64" s="54">
        <f>(D64-F64)*12</f>
        <v>18</v>
      </c>
      <c r="H64" s="68">
        <f>100000/2000</f>
        <v>50</v>
      </c>
      <c r="I64" s="34">
        <f>G64*H64</f>
        <v>900</v>
      </c>
      <c r="J64" s="55">
        <f>Users/4</f>
        <v>114</v>
      </c>
      <c r="K64" s="104">
        <f>I64*J64</f>
        <v>102600</v>
      </c>
      <c r="L64" s="123"/>
      <c r="M64" s="123"/>
      <c r="N64" s="123"/>
      <c r="O64" s="26"/>
      <c r="P64" s="123"/>
      <c r="Q64" s="123"/>
      <c r="R64" s="123"/>
      <c r="S64" s="123"/>
      <c r="T64" s="123"/>
      <c r="U64" s="123"/>
      <c r="V64" s="123"/>
      <c r="W64" s="123"/>
      <c r="X64" s="123"/>
    </row>
    <row r="65" spans="1:24" ht="30.75" thickBot="1" x14ac:dyDescent="0.25">
      <c r="A65" s="123"/>
      <c r="B65" s="123"/>
      <c r="C65" s="66" t="str">
        <f>"Personal information management (email, calendar)"</f>
        <v>Personal information management (email, calendar)</v>
      </c>
      <c r="D65" s="72">
        <f>15</f>
        <v>15</v>
      </c>
      <c r="E65" s="74">
        <f>0.1</f>
        <v>0.1</v>
      </c>
      <c r="F65" s="53">
        <f t="shared" ref="F65:F70" si="9">D65*(1-E65)</f>
        <v>13.5</v>
      </c>
      <c r="G65" s="54">
        <f t="shared" ref="G65:G70" si="10">(D65-F65)*12</f>
        <v>18</v>
      </c>
      <c r="H65" s="68">
        <f>H64</f>
        <v>50</v>
      </c>
      <c r="I65" s="34">
        <f t="shared" ref="I65:I70" si="11">G65*H65</f>
        <v>900</v>
      </c>
      <c r="J65" s="55">
        <f>Users/4</f>
        <v>114</v>
      </c>
      <c r="K65" s="104">
        <f t="shared" ref="K65:K70" si="12">I65*J65</f>
        <v>102600</v>
      </c>
      <c r="L65" s="123"/>
      <c r="M65" s="123"/>
      <c r="N65" s="123"/>
      <c r="O65" s="26"/>
      <c r="P65" s="123"/>
      <c r="Q65" s="123"/>
      <c r="R65" s="123"/>
      <c r="S65" s="123"/>
      <c r="T65" s="123"/>
      <c r="U65" s="123"/>
      <c r="V65" s="123"/>
      <c r="W65" s="123"/>
      <c r="X65" s="123"/>
    </row>
    <row r="66" spans="1:24" ht="15.75" thickBot="1" x14ac:dyDescent="0.25">
      <c r="A66" s="123"/>
      <c r="B66" s="123"/>
      <c r="C66" s="66" t="str">
        <f>"Collaboration / coordination"</f>
        <v>Collaboration / coordination</v>
      </c>
      <c r="D66" s="72">
        <f>0</f>
        <v>0</v>
      </c>
      <c r="E66" s="74">
        <f>0</f>
        <v>0</v>
      </c>
      <c r="F66" s="53">
        <f t="shared" si="9"/>
        <v>0</v>
      </c>
      <c r="G66" s="54">
        <f t="shared" si="10"/>
        <v>0</v>
      </c>
      <c r="H66" s="68">
        <f t="shared" ref="H66:H70" si="13">H65</f>
        <v>50</v>
      </c>
      <c r="I66" s="34">
        <f t="shared" si="11"/>
        <v>0</v>
      </c>
      <c r="J66" s="55">
        <f>0</f>
        <v>0</v>
      </c>
      <c r="K66" s="104">
        <f t="shared" si="12"/>
        <v>0</v>
      </c>
      <c r="L66" s="123"/>
      <c r="M66" s="123"/>
      <c r="N66" s="123"/>
      <c r="O66" s="26"/>
      <c r="P66" s="123"/>
      <c r="Q66" s="123"/>
      <c r="R66" s="123"/>
      <c r="S66" s="123"/>
      <c r="T66" s="123"/>
      <c r="U66" s="123"/>
      <c r="V66" s="123"/>
      <c r="W66" s="123"/>
      <c r="X66" s="123"/>
    </row>
    <row r="67" spans="1:24" ht="15.75" thickBot="1" x14ac:dyDescent="0.25">
      <c r="A67" s="123"/>
      <c r="B67" s="123"/>
      <c r="C67" s="66" t="str">
        <f>"Systems management"</f>
        <v>Systems management</v>
      </c>
      <c r="D67" s="72">
        <f>0</f>
        <v>0</v>
      </c>
      <c r="E67" s="74">
        <f>0</f>
        <v>0</v>
      </c>
      <c r="F67" s="53">
        <f t="shared" si="9"/>
        <v>0</v>
      </c>
      <c r="G67" s="54">
        <f t="shared" si="10"/>
        <v>0</v>
      </c>
      <c r="H67" s="68">
        <f t="shared" si="13"/>
        <v>50</v>
      </c>
      <c r="I67" s="34">
        <f t="shared" si="11"/>
        <v>0</v>
      </c>
      <c r="J67" s="55">
        <f>0</f>
        <v>0</v>
      </c>
      <c r="K67" s="104">
        <f t="shared" si="12"/>
        <v>0</v>
      </c>
      <c r="L67" s="123"/>
      <c r="M67" s="123"/>
      <c r="N67" s="123"/>
      <c r="O67" s="26"/>
      <c r="P67" s="123"/>
      <c r="Q67" s="123"/>
      <c r="R67" s="123"/>
      <c r="S67" s="123"/>
      <c r="T67" s="123"/>
      <c r="U67" s="123"/>
      <c r="V67" s="123"/>
      <c r="W67" s="123"/>
      <c r="X67" s="123"/>
    </row>
    <row r="68" spans="1:24" ht="15.75" thickBot="1" x14ac:dyDescent="0.25">
      <c r="A68" s="123"/>
      <c r="B68" s="123"/>
      <c r="C68" s="66" t="str">
        <f>"Document creation"</f>
        <v>Document creation</v>
      </c>
      <c r="D68" s="72">
        <f>0</f>
        <v>0</v>
      </c>
      <c r="E68" s="74">
        <f>0</f>
        <v>0</v>
      </c>
      <c r="F68" s="53">
        <f>D68*(1-E68)</f>
        <v>0</v>
      </c>
      <c r="G68" s="54">
        <f>(D68-F68)*12</f>
        <v>0</v>
      </c>
      <c r="H68" s="68">
        <f t="shared" si="13"/>
        <v>50</v>
      </c>
      <c r="I68" s="34">
        <f t="shared" si="11"/>
        <v>0</v>
      </c>
      <c r="J68" s="55">
        <f>0</f>
        <v>0</v>
      </c>
      <c r="K68" s="104">
        <f t="shared" si="12"/>
        <v>0</v>
      </c>
      <c r="L68" s="123"/>
      <c r="M68" s="123"/>
      <c r="N68" s="123"/>
      <c r="O68" s="26"/>
      <c r="P68" s="123"/>
      <c r="Q68" s="123"/>
      <c r="R68" s="123"/>
      <c r="S68" s="123"/>
      <c r="T68" s="123"/>
      <c r="U68" s="123"/>
      <c r="V68" s="123"/>
      <c r="W68" s="123"/>
      <c r="X68" s="123"/>
    </row>
    <row r="69" spans="1:24" ht="15.75" thickBot="1" x14ac:dyDescent="0.25">
      <c r="A69" s="123"/>
      <c r="B69" s="123"/>
      <c r="C69" s="66" t="str">
        <f>"Information access and analysis"</f>
        <v>Information access and analysis</v>
      </c>
      <c r="D69" s="72">
        <f>0</f>
        <v>0</v>
      </c>
      <c r="E69" s="74">
        <f>0</f>
        <v>0</v>
      </c>
      <c r="F69" s="53">
        <f t="shared" si="9"/>
        <v>0</v>
      </c>
      <c r="G69" s="54">
        <f t="shared" si="10"/>
        <v>0</v>
      </c>
      <c r="H69" s="68">
        <f t="shared" si="13"/>
        <v>50</v>
      </c>
      <c r="I69" s="34">
        <f t="shared" si="11"/>
        <v>0</v>
      </c>
      <c r="J69" s="55">
        <f>0</f>
        <v>0</v>
      </c>
      <c r="K69" s="104">
        <f t="shared" si="12"/>
        <v>0</v>
      </c>
      <c r="L69" s="123"/>
      <c r="M69" s="123"/>
      <c r="N69" s="123"/>
      <c r="O69" s="26"/>
      <c r="P69" s="123"/>
      <c r="Q69" s="123"/>
      <c r="R69" s="123"/>
      <c r="S69" s="123"/>
      <c r="T69" s="123"/>
      <c r="U69" s="123"/>
      <c r="V69" s="123"/>
      <c r="W69" s="123"/>
      <c r="X69" s="123"/>
    </row>
    <row r="70" spans="1:24" ht="15.75" thickBot="1" x14ac:dyDescent="0.25">
      <c r="A70" s="123"/>
      <c r="B70" s="123"/>
      <c r="C70" s="69" t="str">
        <f>"Other"</f>
        <v>Other</v>
      </c>
      <c r="D70" s="76">
        <f>0</f>
        <v>0</v>
      </c>
      <c r="E70" s="19">
        <f>0</f>
        <v>0</v>
      </c>
      <c r="F70" s="53">
        <f t="shared" si="9"/>
        <v>0</v>
      </c>
      <c r="G70" s="54">
        <f t="shared" si="10"/>
        <v>0</v>
      </c>
      <c r="H70" s="18">
        <f t="shared" si="13"/>
        <v>50</v>
      </c>
      <c r="I70" s="34">
        <f t="shared" si="11"/>
        <v>0</v>
      </c>
      <c r="J70" s="29">
        <f>0</f>
        <v>0</v>
      </c>
      <c r="K70" s="104">
        <f t="shared" si="12"/>
        <v>0</v>
      </c>
      <c r="L70" s="123"/>
      <c r="M70" s="123"/>
      <c r="N70" s="123"/>
      <c r="O70" s="26"/>
      <c r="P70" s="123"/>
      <c r="Q70" s="123"/>
      <c r="R70" s="123"/>
      <c r="S70" s="123"/>
      <c r="T70" s="123"/>
      <c r="U70" s="123"/>
      <c r="V70" s="123"/>
      <c r="W70" s="123"/>
      <c r="X70" s="123"/>
    </row>
    <row r="71" spans="1:24" ht="15.75" thickTop="1" x14ac:dyDescent="0.2">
      <c r="A71" s="123"/>
      <c r="B71" s="123"/>
      <c r="C71" s="33" t="s">
        <v>92</v>
      </c>
      <c r="D71" s="123"/>
      <c r="E71" s="123"/>
      <c r="F71" s="123"/>
      <c r="G71" s="123"/>
      <c r="H71" s="123"/>
      <c r="I71" s="123"/>
      <c r="J71" s="123"/>
      <c r="K71" s="102">
        <f>SUM(K64:K70)</f>
        <v>205200</v>
      </c>
      <c r="L71" s="123"/>
      <c r="M71" s="123"/>
      <c r="N71" s="123"/>
      <c r="O71" s="26"/>
      <c r="P71" s="123"/>
      <c r="Q71" s="123"/>
      <c r="R71" s="123"/>
      <c r="S71" s="123"/>
      <c r="T71" s="123"/>
      <c r="U71" s="123"/>
      <c r="V71" s="123"/>
      <c r="W71" s="123"/>
      <c r="X71" s="123"/>
    </row>
    <row r="72" spans="1:24" ht="11.25" customHeight="1" thickBot="1" x14ac:dyDescent="0.25">
      <c r="A72" s="123"/>
      <c r="B72" s="123"/>
      <c r="C72" s="123"/>
      <c r="D72" s="123"/>
      <c r="E72" s="123"/>
      <c r="F72" s="123"/>
      <c r="G72" s="123"/>
      <c r="H72" s="123"/>
      <c r="I72" s="123"/>
      <c r="J72" s="123"/>
      <c r="K72" s="123"/>
      <c r="L72" s="123"/>
      <c r="M72" s="123"/>
      <c r="N72" s="123"/>
      <c r="O72" s="26"/>
      <c r="P72" s="123"/>
      <c r="Q72" s="123"/>
      <c r="R72" s="123"/>
      <c r="S72" s="123"/>
      <c r="T72" s="123"/>
      <c r="U72" s="123"/>
      <c r="V72" s="123"/>
      <c r="W72" s="123"/>
      <c r="X72" s="123"/>
    </row>
    <row r="73" spans="1:24" ht="27" customHeight="1" thickBot="1" x14ac:dyDescent="0.25">
      <c r="A73" s="123"/>
      <c r="B73" s="123"/>
      <c r="C73" s="133" t="str">
        <f>"Comments"</f>
        <v>Comments</v>
      </c>
      <c r="D73" s="134"/>
      <c r="E73" s="134"/>
      <c r="F73" s="134"/>
      <c r="G73" s="134"/>
      <c r="H73" s="134"/>
      <c r="I73" s="134"/>
      <c r="J73" s="134"/>
      <c r="K73" s="134"/>
      <c r="L73" s="135"/>
      <c r="M73" s="123"/>
      <c r="N73" s="123"/>
      <c r="O73" s="26"/>
      <c r="P73" s="123"/>
      <c r="Q73" s="123"/>
      <c r="R73" s="123"/>
      <c r="S73" s="123"/>
      <c r="T73" s="123"/>
      <c r="U73" s="123"/>
      <c r="V73" s="123"/>
      <c r="W73" s="123"/>
      <c r="X73" s="123"/>
    </row>
    <row r="74" spans="1:24" ht="21" customHeight="1" x14ac:dyDescent="0.2">
      <c r="A74" s="123"/>
      <c r="B74" s="123"/>
      <c r="C74" s="123"/>
      <c r="D74" s="123"/>
      <c r="E74" s="123"/>
      <c r="F74" s="123"/>
      <c r="G74" s="123"/>
      <c r="H74" s="123"/>
      <c r="I74" s="123"/>
      <c r="J74" s="123"/>
      <c r="K74" s="123"/>
      <c r="L74" s="123"/>
      <c r="M74" s="123"/>
      <c r="N74" s="123"/>
      <c r="O74" s="26"/>
      <c r="P74" s="123"/>
      <c r="Q74" s="123"/>
      <c r="R74" s="123"/>
      <c r="S74" s="123"/>
      <c r="T74" s="123"/>
      <c r="U74" s="123"/>
      <c r="V74" s="123"/>
      <c r="W74" s="123"/>
      <c r="X74" s="123"/>
    </row>
    <row r="75" spans="1:24" x14ac:dyDescent="0.2">
      <c r="A75" s="123"/>
      <c r="B75" s="78" t="str">
        <f>Start!$B$27</f>
        <v>© AnalysisPlace</v>
      </c>
      <c r="C75" s="123"/>
      <c r="D75" s="123"/>
      <c r="E75" s="123"/>
      <c r="F75" s="123"/>
      <c r="G75" s="123"/>
      <c r="H75" s="123"/>
      <c r="I75" s="123"/>
      <c r="J75" s="123"/>
      <c r="K75" s="123"/>
      <c r="L75" s="123"/>
      <c r="M75" s="123"/>
      <c r="N75" s="123"/>
      <c r="O75" s="26"/>
      <c r="P75" s="123"/>
      <c r="Q75" s="123"/>
      <c r="R75" s="123"/>
      <c r="S75" s="123"/>
      <c r="T75" s="123"/>
      <c r="U75" s="123"/>
      <c r="V75" s="123"/>
      <c r="W75" s="123"/>
      <c r="X75" s="123"/>
    </row>
    <row r="76" spans="1:24" ht="6" customHeight="1" x14ac:dyDescent="0.2">
      <c r="A76" s="26" t="s">
        <v>0</v>
      </c>
      <c r="B76" s="26"/>
      <c r="C76" s="26"/>
      <c r="D76" s="26"/>
      <c r="E76" s="26"/>
      <c r="F76" s="26"/>
      <c r="G76" s="26"/>
      <c r="H76" s="26"/>
      <c r="I76" s="26"/>
      <c r="J76" s="26"/>
      <c r="K76" s="26"/>
      <c r="L76" s="26"/>
      <c r="M76" s="26"/>
      <c r="N76" s="26"/>
      <c r="O76" s="26"/>
      <c r="P76" s="123"/>
      <c r="Q76" s="123"/>
      <c r="R76" s="123"/>
      <c r="S76" s="123"/>
      <c r="T76" s="123"/>
      <c r="U76" s="123"/>
      <c r="V76" s="123"/>
      <c r="W76" s="123"/>
      <c r="X76" s="123"/>
    </row>
  </sheetData>
  <mergeCells count="30">
    <mergeCell ref="H62:H63"/>
    <mergeCell ref="G62:G63"/>
    <mergeCell ref="E48:G48"/>
    <mergeCell ref="J48:L48"/>
    <mergeCell ref="S21:X21"/>
    <mergeCell ref="S22:X22"/>
    <mergeCell ref="S23:X23"/>
    <mergeCell ref="S24:X24"/>
    <mergeCell ref="C26:H26"/>
    <mergeCell ref="S16:X16"/>
    <mergeCell ref="S17:X17"/>
    <mergeCell ref="S18:X18"/>
    <mergeCell ref="S19:X19"/>
    <mergeCell ref="S20:X20"/>
    <mergeCell ref="B14:H14"/>
    <mergeCell ref="B3:G3"/>
    <mergeCell ref="B5:F5"/>
    <mergeCell ref="C73:L73"/>
    <mergeCell ref="H48:I48"/>
    <mergeCell ref="B29:H29"/>
    <mergeCell ref="I62:I63"/>
    <mergeCell ref="K62:K63"/>
    <mergeCell ref="C58:L58"/>
    <mergeCell ref="C31:F31"/>
    <mergeCell ref="C47:M47"/>
    <mergeCell ref="C36:F36"/>
    <mergeCell ref="M48:M49"/>
    <mergeCell ref="D62:F62"/>
    <mergeCell ref="C61:M61"/>
    <mergeCell ref="J62:J63"/>
  </mergeCells>
  <conditionalFormatting sqref="C7">
    <cfRule type="expression" dxfId="139" priority="130">
      <formula>_xlfn.ISFORMULA($C$7)</formula>
    </cfRule>
  </conditionalFormatting>
  <conditionalFormatting sqref="C8">
    <cfRule type="expression" dxfId="138" priority="129">
      <formula>_xlfn.ISFORMULA($C$8)</formula>
    </cfRule>
  </conditionalFormatting>
  <conditionalFormatting sqref="C9">
    <cfRule type="expression" dxfId="137" priority="128">
      <formula>_xlfn.ISFORMULA($C$9)</formula>
    </cfRule>
  </conditionalFormatting>
  <conditionalFormatting sqref="C26">
    <cfRule type="expression" dxfId="136" priority="117">
      <formula>_xlfn.ISFORMULA($C$26)</formula>
    </cfRule>
  </conditionalFormatting>
  <conditionalFormatting sqref="C38">
    <cfRule type="expression" dxfId="135" priority="109">
      <formula>_xlfn.ISFORMULA($C$38)</formula>
    </cfRule>
  </conditionalFormatting>
  <conditionalFormatting sqref="C39">
    <cfRule type="expression" dxfId="134" priority="106">
      <formula>_xlfn.ISFORMULA($C$39)</formula>
    </cfRule>
  </conditionalFormatting>
  <conditionalFormatting sqref="C40">
    <cfRule type="expression" dxfId="133" priority="103">
      <formula>_xlfn.ISFORMULA($C$40)</formula>
    </cfRule>
  </conditionalFormatting>
  <conditionalFormatting sqref="C41">
    <cfRule type="expression" dxfId="132" priority="100">
      <formula>_xlfn.ISFORMULA($C$41)</formula>
    </cfRule>
  </conditionalFormatting>
  <conditionalFormatting sqref="C42">
    <cfRule type="expression" dxfId="131" priority="97">
      <formula>_xlfn.ISFORMULA($C$42)</formula>
    </cfRule>
  </conditionalFormatting>
  <conditionalFormatting sqref="C43">
    <cfRule type="expression" dxfId="130" priority="94">
      <formula>_xlfn.ISFORMULA($C$43)</formula>
    </cfRule>
  </conditionalFormatting>
  <conditionalFormatting sqref="C50">
    <cfRule type="expression" dxfId="129" priority="91">
      <formula>_xlfn.ISFORMULA($C$50)</formula>
    </cfRule>
  </conditionalFormatting>
  <conditionalFormatting sqref="C51">
    <cfRule type="expression" dxfId="128" priority="85">
      <formula>_xlfn.ISFORMULA($C$51)</formula>
    </cfRule>
  </conditionalFormatting>
  <conditionalFormatting sqref="C52">
    <cfRule type="expression" dxfId="127" priority="79">
      <formula>_xlfn.ISFORMULA($C$52)</formula>
    </cfRule>
  </conditionalFormatting>
  <conditionalFormatting sqref="C53">
    <cfRule type="expression" dxfId="126" priority="73">
      <formula>_xlfn.ISFORMULA($C$53)</formula>
    </cfRule>
  </conditionalFormatting>
  <conditionalFormatting sqref="C54">
    <cfRule type="expression" dxfId="125" priority="67">
      <formula>_xlfn.ISFORMULA($C$54)</formula>
    </cfRule>
  </conditionalFormatting>
  <conditionalFormatting sqref="C55">
    <cfRule type="expression" dxfId="124" priority="61">
      <formula>_xlfn.ISFORMULA($C$55)</formula>
    </cfRule>
  </conditionalFormatting>
  <conditionalFormatting sqref="C58">
    <cfRule type="expression" dxfId="123" priority="55">
      <formula>_xlfn.ISFORMULA($C$58)</formula>
    </cfRule>
  </conditionalFormatting>
  <conditionalFormatting sqref="C64">
    <cfRule type="expression" dxfId="122" priority="45">
      <formula>_xlfn.ISFORMULA($C$64)</formula>
    </cfRule>
  </conditionalFormatting>
  <conditionalFormatting sqref="C65">
    <cfRule type="expression" dxfId="121" priority="40">
      <formula>_xlfn.ISFORMULA($C$65)</formula>
    </cfRule>
  </conditionalFormatting>
  <conditionalFormatting sqref="C66">
    <cfRule type="expression" dxfId="120" priority="35">
      <formula>_xlfn.ISFORMULA($C$66)</formula>
    </cfRule>
  </conditionalFormatting>
  <conditionalFormatting sqref="C67">
    <cfRule type="expression" dxfId="119" priority="30">
      <formula>_xlfn.ISFORMULA($C$67)</formula>
    </cfRule>
  </conditionalFormatting>
  <conditionalFormatting sqref="C68">
    <cfRule type="expression" dxfId="118" priority="25">
      <formula>_xlfn.ISFORMULA($C$68)</formula>
    </cfRule>
  </conditionalFormatting>
  <conditionalFormatting sqref="C69">
    <cfRule type="expression" dxfId="117" priority="20">
      <formula>_xlfn.ISFORMULA($C$69)</formula>
    </cfRule>
  </conditionalFormatting>
  <conditionalFormatting sqref="C70">
    <cfRule type="expression" dxfId="116" priority="15">
      <formula>_xlfn.ISFORMULA($C$70)</formula>
    </cfRule>
  </conditionalFormatting>
  <conditionalFormatting sqref="C73">
    <cfRule type="expression" dxfId="115" priority="10">
      <formula>_xlfn.ISFORMULA($C$73)</formula>
    </cfRule>
  </conditionalFormatting>
  <conditionalFormatting sqref="D16">
    <cfRule type="expression" dxfId="114" priority="127">
      <formula>_xlfn.ISFORMULA($D$16)</formula>
    </cfRule>
  </conditionalFormatting>
  <conditionalFormatting sqref="D17">
    <cfRule type="expression" dxfId="113" priority="125">
      <formula>_xlfn.ISFORMULA($D$17)</formula>
    </cfRule>
  </conditionalFormatting>
  <conditionalFormatting sqref="D19">
    <cfRule type="expression" dxfId="112" priority="123">
      <formula>_xlfn.ISFORMULA($D$19)</formula>
    </cfRule>
  </conditionalFormatting>
  <conditionalFormatting sqref="D21">
    <cfRule type="expression" dxfId="111" priority="121">
      <formula>_xlfn.ISFORMULA($D$21)</formula>
    </cfRule>
  </conditionalFormatting>
  <conditionalFormatting sqref="D23">
    <cfRule type="expression" dxfId="110" priority="119">
      <formula>_xlfn.ISFORMULA($D$23)</formula>
    </cfRule>
  </conditionalFormatting>
  <conditionalFormatting sqref="D26">
    <cfRule type="expression" dxfId="109" priority="116">
      <formula>_xlfn.ISFORMULA($D$26)</formula>
    </cfRule>
  </conditionalFormatting>
  <conditionalFormatting sqref="D33">
    <cfRule type="expression" dxfId="108" priority="111">
      <formula>_xlfn.ISFORMULA($D$33)</formula>
    </cfRule>
  </conditionalFormatting>
  <conditionalFormatting sqref="D38">
    <cfRule type="expression" dxfId="107" priority="108">
      <formula>_xlfn.ISFORMULA($D$38)</formula>
    </cfRule>
  </conditionalFormatting>
  <conditionalFormatting sqref="D39">
    <cfRule type="expression" dxfId="106" priority="105">
      <formula>_xlfn.ISFORMULA($D$39)</formula>
    </cfRule>
  </conditionalFormatting>
  <conditionalFormatting sqref="D40">
    <cfRule type="expression" dxfId="105" priority="102">
      <formula>_xlfn.ISFORMULA($D$40)</formula>
    </cfRule>
  </conditionalFormatting>
  <conditionalFormatting sqref="D41">
    <cfRule type="expression" dxfId="104" priority="99">
      <formula>_xlfn.ISFORMULA($D$41)</formula>
    </cfRule>
  </conditionalFormatting>
  <conditionalFormatting sqref="D42">
    <cfRule type="expression" dxfId="103" priority="96">
      <formula>_xlfn.ISFORMULA($D$42)</formula>
    </cfRule>
  </conditionalFormatting>
  <conditionalFormatting sqref="D43">
    <cfRule type="expression" dxfId="102" priority="93">
      <formula>_xlfn.ISFORMULA($D$43)</formula>
    </cfRule>
  </conditionalFormatting>
  <conditionalFormatting sqref="D50">
    <cfRule type="expression" dxfId="101" priority="90">
      <formula>_xlfn.ISFORMULA($D$50)</formula>
    </cfRule>
  </conditionalFormatting>
  <conditionalFormatting sqref="D51">
    <cfRule type="expression" dxfId="100" priority="84">
      <formula>_xlfn.ISFORMULA($D$51)</formula>
    </cfRule>
  </conditionalFormatting>
  <conditionalFormatting sqref="D52">
    <cfRule type="expression" dxfId="99" priority="78">
      <formula>_xlfn.ISFORMULA($D$52)</formula>
    </cfRule>
  </conditionalFormatting>
  <conditionalFormatting sqref="D53">
    <cfRule type="expression" dxfId="98" priority="72">
      <formula>_xlfn.ISFORMULA($D$53)</formula>
    </cfRule>
  </conditionalFormatting>
  <conditionalFormatting sqref="D54">
    <cfRule type="expression" dxfId="97" priority="66">
      <formula>_xlfn.ISFORMULA($D$54)</formula>
    </cfRule>
  </conditionalFormatting>
  <conditionalFormatting sqref="D55">
    <cfRule type="expression" dxfId="96" priority="60">
      <formula>_xlfn.ISFORMULA($D$55)</formula>
    </cfRule>
  </conditionalFormatting>
  <conditionalFormatting sqref="D58">
    <cfRule type="expression" dxfId="95" priority="54">
      <formula>_xlfn.ISFORMULA($D$58)</formula>
    </cfRule>
  </conditionalFormatting>
  <conditionalFormatting sqref="D64">
    <cfRule type="expression" dxfId="94" priority="44">
      <formula>_xlfn.ISFORMULA($D$64)</formula>
    </cfRule>
  </conditionalFormatting>
  <conditionalFormatting sqref="D65">
    <cfRule type="expression" dxfId="93" priority="39">
      <formula>_xlfn.ISFORMULA($D$65)</formula>
    </cfRule>
  </conditionalFormatting>
  <conditionalFormatting sqref="D66">
    <cfRule type="expression" dxfId="92" priority="34">
      <formula>_xlfn.ISFORMULA($D$66)</formula>
    </cfRule>
  </conditionalFormatting>
  <conditionalFormatting sqref="D67">
    <cfRule type="expression" dxfId="91" priority="29">
      <formula>_xlfn.ISFORMULA($D$67)</formula>
    </cfRule>
  </conditionalFormatting>
  <conditionalFormatting sqref="D68">
    <cfRule type="expression" dxfId="90" priority="24">
      <formula>_xlfn.ISFORMULA($D$68)</formula>
    </cfRule>
  </conditionalFormatting>
  <conditionalFormatting sqref="D69">
    <cfRule type="expression" dxfId="89" priority="19">
      <formula>_xlfn.ISFORMULA($D$69)</formula>
    </cfRule>
  </conditionalFormatting>
  <conditionalFormatting sqref="D70">
    <cfRule type="expression" dxfId="88" priority="14">
      <formula>_xlfn.ISFORMULA($D$70)</formula>
    </cfRule>
  </conditionalFormatting>
  <conditionalFormatting sqref="D73">
    <cfRule type="expression" dxfId="87" priority="9">
      <formula>_xlfn.ISFORMULA($D$73)</formula>
    </cfRule>
  </conditionalFormatting>
  <conditionalFormatting sqref="E16">
    <cfRule type="expression" dxfId="86" priority="126">
      <formula>_xlfn.ISFORMULA($E$16)</formula>
    </cfRule>
  </conditionalFormatting>
  <conditionalFormatting sqref="E17">
    <cfRule type="expression" dxfId="85" priority="124">
      <formula>_xlfn.ISFORMULA($E$17)</formula>
    </cfRule>
  </conditionalFormatting>
  <conditionalFormatting sqref="E19">
    <cfRule type="expression" dxfId="84" priority="122">
      <formula>_xlfn.ISFORMULA($E$19)</formula>
    </cfRule>
  </conditionalFormatting>
  <conditionalFormatting sqref="E21">
    <cfRule type="expression" dxfId="83" priority="120">
      <formula>_xlfn.ISFORMULA($E$21)</formula>
    </cfRule>
  </conditionalFormatting>
  <conditionalFormatting sqref="E23">
    <cfRule type="expression" dxfId="82" priority="118">
      <formula>_xlfn.ISFORMULA($E$23)</formula>
    </cfRule>
  </conditionalFormatting>
  <conditionalFormatting sqref="E26">
    <cfRule type="expression" dxfId="81" priority="115">
      <formula>_xlfn.ISFORMULA($E$26)</formula>
    </cfRule>
  </conditionalFormatting>
  <conditionalFormatting sqref="E33">
    <cfRule type="expression" dxfId="80" priority="110">
      <formula>_xlfn.ISFORMULA($E$33)</formula>
    </cfRule>
  </conditionalFormatting>
  <conditionalFormatting sqref="E38">
    <cfRule type="expression" dxfId="79" priority="107">
      <formula>_xlfn.ISFORMULA($E$38)</formula>
    </cfRule>
  </conditionalFormatting>
  <conditionalFormatting sqref="E39">
    <cfRule type="expression" dxfId="78" priority="104">
      <formula>_xlfn.ISFORMULA($E$39)</formula>
    </cfRule>
  </conditionalFormatting>
  <conditionalFormatting sqref="E40">
    <cfRule type="expression" dxfId="77" priority="101">
      <formula>_xlfn.ISFORMULA($E$40)</formula>
    </cfRule>
  </conditionalFormatting>
  <conditionalFormatting sqref="E41">
    <cfRule type="expression" dxfId="76" priority="98">
      <formula>_xlfn.ISFORMULA($E$41)</formula>
    </cfRule>
  </conditionalFormatting>
  <conditionalFormatting sqref="E42">
    <cfRule type="expression" dxfId="75" priority="95">
      <formula>_xlfn.ISFORMULA($E$42)</formula>
    </cfRule>
  </conditionalFormatting>
  <conditionalFormatting sqref="E43">
    <cfRule type="expression" dxfId="74" priority="92">
      <formula>_xlfn.ISFORMULA($E$43)</formula>
    </cfRule>
  </conditionalFormatting>
  <conditionalFormatting sqref="E50">
    <cfRule type="expression" dxfId="73" priority="89">
      <formula>_xlfn.ISFORMULA($E$50)</formula>
    </cfRule>
  </conditionalFormatting>
  <conditionalFormatting sqref="E51">
    <cfRule type="expression" dxfId="72" priority="83">
      <formula>_xlfn.ISFORMULA($E$51)</formula>
    </cfRule>
  </conditionalFormatting>
  <conditionalFormatting sqref="E52">
    <cfRule type="expression" dxfId="71" priority="77">
      <formula>_xlfn.ISFORMULA($E$52)</formula>
    </cfRule>
  </conditionalFormatting>
  <conditionalFormatting sqref="E53">
    <cfRule type="expression" dxfId="70" priority="71">
      <formula>_xlfn.ISFORMULA($E$53)</formula>
    </cfRule>
  </conditionalFormatting>
  <conditionalFormatting sqref="E54">
    <cfRule type="expression" dxfId="69" priority="65">
      <formula>_xlfn.ISFORMULA($E$54)</formula>
    </cfRule>
  </conditionalFormatting>
  <conditionalFormatting sqref="E55">
    <cfRule type="expression" dxfId="68" priority="59">
      <formula>_xlfn.ISFORMULA($E$55)</formula>
    </cfRule>
  </conditionalFormatting>
  <conditionalFormatting sqref="E58">
    <cfRule type="expression" dxfId="67" priority="53">
      <formula>_xlfn.ISFORMULA($E$58)</formula>
    </cfRule>
  </conditionalFormatting>
  <conditionalFormatting sqref="E64">
    <cfRule type="expression" dxfId="66" priority="43">
      <formula>_xlfn.ISFORMULA($E$64)</formula>
    </cfRule>
  </conditionalFormatting>
  <conditionalFormatting sqref="E65">
    <cfRule type="expression" dxfId="65" priority="38">
      <formula>_xlfn.ISFORMULA($E$65)</formula>
    </cfRule>
  </conditionalFormatting>
  <conditionalFormatting sqref="E66">
    <cfRule type="expression" dxfId="64" priority="33">
      <formula>_xlfn.ISFORMULA($E$66)</formula>
    </cfRule>
  </conditionalFormatting>
  <conditionalFormatting sqref="E67">
    <cfRule type="expression" dxfId="63" priority="28">
      <formula>_xlfn.ISFORMULA($E$67)</formula>
    </cfRule>
  </conditionalFormatting>
  <conditionalFormatting sqref="E68">
    <cfRule type="expression" dxfId="62" priority="23">
      <formula>_xlfn.ISFORMULA($E$68)</formula>
    </cfRule>
  </conditionalFormatting>
  <conditionalFormatting sqref="E69">
    <cfRule type="expression" dxfId="61" priority="18">
      <formula>_xlfn.ISFORMULA($E$69)</formula>
    </cfRule>
  </conditionalFormatting>
  <conditionalFormatting sqref="E70">
    <cfRule type="expression" dxfId="60" priority="13">
      <formula>_xlfn.ISFORMULA($E$70)</formula>
    </cfRule>
  </conditionalFormatting>
  <conditionalFormatting sqref="E73">
    <cfRule type="expression" dxfId="59" priority="8">
      <formula>_xlfn.ISFORMULA($E$73)</formula>
    </cfRule>
  </conditionalFormatting>
  <conditionalFormatting sqref="F26">
    <cfRule type="expression" dxfId="58" priority="114">
      <formula>_xlfn.ISFORMULA($F$26)</formula>
    </cfRule>
  </conditionalFormatting>
  <conditionalFormatting sqref="F50">
    <cfRule type="expression" dxfId="57" priority="88">
      <formula>_xlfn.ISFORMULA($F$50)</formula>
    </cfRule>
  </conditionalFormatting>
  <conditionalFormatting sqref="F51">
    <cfRule type="expression" dxfId="56" priority="82">
      <formula>_xlfn.ISFORMULA($F$51)</formula>
    </cfRule>
  </conditionalFormatting>
  <conditionalFormatting sqref="F52">
    <cfRule type="expression" dxfId="55" priority="76">
      <formula>_xlfn.ISFORMULA($F$52)</formula>
    </cfRule>
  </conditionalFormatting>
  <conditionalFormatting sqref="F53">
    <cfRule type="expression" dxfId="54" priority="70">
      <formula>_xlfn.ISFORMULA($F$53)</formula>
    </cfRule>
  </conditionalFormatting>
  <conditionalFormatting sqref="F54">
    <cfRule type="expression" dxfId="53" priority="64">
      <formula>_xlfn.ISFORMULA($F$54)</formula>
    </cfRule>
  </conditionalFormatting>
  <conditionalFormatting sqref="F55">
    <cfRule type="expression" dxfId="52" priority="58">
      <formula>_xlfn.ISFORMULA($F$55)</formula>
    </cfRule>
  </conditionalFormatting>
  <conditionalFormatting sqref="F58">
    <cfRule type="expression" dxfId="51" priority="52">
      <formula>_xlfn.ISFORMULA($F$58)</formula>
    </cfRule>
  </conditionalFormatting>
  <conditionalFormatting sqref="F73">
    <cfRule type="expression" dxfId="50" priority="7">
      <formula>_xlfn.ISFORMULA($F$73)</formula>
    </cfRule>
  </conditionalFormatting>
  <conditionalFormatting sqref="G26">
    <cfRule type="expression" dxfId="49" priority="113">
      <formula>_xlfn.ISFORMULA($G$26)</formula>
    </cfRule>
  </conditionalFormatting>
  <conditionalFormatting sqref="G58">
    <cfRule type="expression" dxfId="48" priority="51">
      <formula>_xlfn.ISFORMULA($G$58)</formula>
    </cfRule>
  </conditionalFormatting>
  <conditionalFormatting sqref="G73">
    <cfRule type="expression" dxfId="47" priority="6">
      <formula>_xlfn.ISFORMULA($G$73)</formula>
    </cfRule>
  </conditionalFormatting>
  <conditionalFormatting sqref="H26">
    <cfRule type="expression" dxfId="46" priority="112">
      <formula>_xlfn.ISFORMULA($H$26)</formula>
    </cfRule>
  </conditionalFormatting>
  <conditionalFormatting sqref="H50">
    <cfRule type="expression" dxfId="45" priority="87">
      <formula>_xlfn.ISFORMULA($H$50)</formula>
    </cfRule>
  </conditionalFormatting>
  <conditionalFormatting sqref="H51">
    <cfRule type="expression" dxfId="44" priority="81">
      <formula>_xlfn.ISFORMULA($H$51)</formula>
    </cfRule>
  </conditionalFormatting>
  <conditionalFormatting sqref="H52">
    <cfRule type="expression" dxfId="43" priority="75">
      <formula>_xlfn.ISFORMULA($H$52)</formula>
    </cfRule>
  </conditionalFormatting>
  <conditionalFormatting sqref="H53">
    <cfRule type="expression" dxfId="42" priority="69">
      <formula>_xlfn.ISFORMULA($H$53)</formula>
    </cfRule>
  </conditionalFormatting>
  <conditionalFormatting sqref="H54">
    <cfRule type="expression" dxfId="41" priority="63">
      <formula>_xlfn.ISFORMULA($H$54)</formula>
    </cfRule>
  </conditionalFormatting>
  <conditionalFormatting sqref="H55">
    <cfRule type="expression" dxfId="40" priority="57">
      <formula>_xlfn.ISFORMULA($H$55)</formula>
    </cfRule>
  </conditionalFormatting>
  <conditionalFormatting sqref="H58">
    <cfRule type="expression" dxfId="39" priority="50">
      <formula>_xlfn.ISFORMULA($H$58)</formula>
    </cfRule>
  </conditionalFormatting>
  <conditionalFormatting sqref="H64">
    <cfRule type="expression" dxfId="38" priority="42">
      <formula>_xlfn.ISFORMULA($H$64)</formula>
    </cfRule>
  </conditionalFormatting>
  <conditionalFormatting sqref="H65">
    <cfRule type="expression" dxfId="37" priority="37">
      <formula>_xlfn.ISFORMULA($H$65)</formula>
    </cfRule>
  </conditionalFormatting>
  <conditionalFormatting sqref="H66">
    <cfRule type="expression" dxfId="36" priority="32">
      <formula>_xlfn.ISFORMULA($H$66)</formula>
    </cfRule>
  </conditionalFormatting>
  <conditionalFormatting sqref="H67">
    <cfRule type="expression" dxfId="35" priority="27">
      <formula>_xlfn.ISFORMULA($H$67)</formula>
    </cfRule>
  </conditionalFormatting>
  <conditionalFormatting sqref="H68">
    <cfRule type="expression" dxfId="34" priority="22">
      <formula>_xlfn.ISFORMULA($H$68)</formula>
    </cfRule>
  </conditionalFormatting>
  <conditionalFormatting sqref="H69">
    <cfRule type="expression" dxfId="33" priority="17">
      <formula>_xlfn.ISFORMULA($H$69)</formula>
    </cfRule>
  </conditionalFormatting>
  <conditionalFormatting sqref="H70">
    <cfRule type="expression" dxfId="32" priority="12">
      <formula>_xlfn.ISFORMULA($H$70)</formula>
    </cfRule>
  </conditionalFormatting>
  <conditionalFormatting sqref="H73">
    <cfRule type="expression" dxfId="31" priority="5">
      <formula>_xlfn.ISFORMULA($H$73)</formula>
    </cfRule>
  </conditionalFormatting>
  <conditionalFormatting sqref="I50">
    <cfRule type="expression" dxfId="30" priority="86">
      <formula>_xlfn.ISFORMULA($I$50)</formula>
    </cfRule>
  </conditionalFormatting>
  <conditionalFormatting sqref="I51">
    <cfRule type="expression" dxfId="29" priority="80">
      <formula>_xlfn.ISFORMULA($I$51)</formula>
    </cfRule>
  </conditionalFormatting>
  <conditionalFormatting sqref="I52">
    <cfRule type="expression" dxfId="28" priority="74">
      <formula>_xlfn.ISFORMULA($I$52)</formula>
    </cfRule>
  </conditionalFormatting>
  <conditionalFormatting sqref="I53">
    <cfRule type="expression" dxfId="27" priority="68">
      <formula>_xlfn.ISFORMULA($I$53)</formula>
    </cfRule>
  </conditionalFormatting>
  <conditionalFormatting sqref="I54">
    <cfRule type="expression" dxfId="26" priority="62">
      <formula>_xlfn.ISFORMULA($I$54)</formula>
    </cfRule>
  </conditionalFormatting>
  <conditionalFormatting sqref="I55">
    <cfRule type="expression" dxfId="25" priority="56">
      <formula>_xlfn.ISFORMULA($I$55)</formula>
    </cfRule>
  </conditionalFormatting>
  <conditionalFormatting sqref="I58">
    <cfRule type="expression" dxfId="24" priority="49">
      <formula>_xlfn.ISFORMULA($I$58)</formula>
    </cfRule>
  </conditionalFormatting>
  <conditionalFormatting sqref="I73">
    <cfRule type="expression" dxfId="23" priority="4">
      <formula>_xlfn.ISFORMULA($I$73)</formula>
    </cfRule>
  </conditionalFormatting>
  <conditionalFormatting sqref="J58">
    <cfRule type="expression" dxfId="22" priority="48">
      <formula>_xlfn.ISFORMULA($J$58)</formula>
    </cfRule>
  </conditionalFormatting>
  <conditionalFormatting sqref="J64">
    <cfRule type="expression" dxfId="21" priority="41">
      <formula>_xlfn.ISFORMULA($J$64)</formula>
    </cfRule>
  </conditionalFormatting>
  <conditionalFormatting sqref="J65">
    <cfRule type="expression" dxfId="20" priority="36">
      <formula>_xlfn.ISFORMULA($J$65)</formula>
    </cfRule>
  </conditionalFormatting>
  <conditionalFormatting sqref="J66">
    <cfRule type="expression" dxfId="19" priority="31">
      <formula>_xlfn.ISFORMULA($J$66)</formula>
    </cfRule>
  </conditionalFormatting>
  <conditionalFormatting sqref="J67">
    <cfRule type="expression" dxfId="18" priority="26">
      <formula>_xlfn.ISFORMULA($J$67)</formula>
    </cfRule>
  </conditionalFormatting>
  <conditionalFormatting sqref="J68">
    <cfRule type="expression" dxfId="17" priority="21">
      <formula>_xlfn.ISFORMULA($J$68)</formula>
    </cfRule>
  </conditionalFormatting>
  <conditionalFormatting sqref="J69">
    <cfRule type="expression" dxfId="16" priority="16">
      <formula>_xlfn.ISFORMULA($J$69)</formula>
    </cfRule>
  </conditionalFormatting>
  <conditionalFormatting sqref="J70">
    <cfRule type="expression" dxfId="15" priority="11">
      <formula>_xlfn.ISFORMULA($J$70)</formula>
    </cfRule>
  </conditionalFormatting>
  <conditionalFormatting sqref="J73">
    <cfRule type="expression" dxfId="14" priority="3">
      <formula>_xlfn.ISFORMULA($J$73)</formula>
    </cfRule>
  </conditionalFormatting>
  <conditionalFormatting sqref="K58">
    <cfRule type="expression" dxfId="13" priority="47">
      <formula>_xlfn.ISFORMULA($K$58)</formula>
    </cfRule>
  </conditionalFormatting>
  <conditionalFormatting sqref="K73">
    <cfRule type="expression" dxfId="12" priority="2">
      <formula>_xlfn.ISFORMULA($K$73)</formula>
    </cfRule>
  </conditionalFormatting>
  <conditionalFormatting sqref="L58">
    <cfRule type="expression" dxfId="11" priority="46">
      <formula>_xlfn.ISFORMULA($L$58)</formula>
    </cfRule>
  </conditionalFormatting>
  <conditionalFormatting sqref="L73">
    <cfRule type="expression" dxfId="10" priority="1">
      <formula>_xlfn.ISFORMULA($L$73)</formula>
    </cfRule>
  </conditionalFormatting>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Q73"/>
  <sheetViews>
    <sheetView showGridLines="0" zoomScaleNormal="100" workbookViewId="0">
      <selection activeCell="A2" sqref="A2"/>
    </sheetView>
  </sheetViews>
  <sheetFormatPr defaultColWidth="8.88671875" defaultRowHeight="15" x14ac:dyDescent="0.2"/>
  <cols>
    <col min="1" max="2" width="2" customWidth="1"/>
    <col min="3" max="3" width="27.109375" customWidth="1"/>
    <col min="4" max="6" width="14" customWidth="1"/>
    <col min="7" max="9" width="13" customWidth="1"/>
    <col min="10" max="10" width="13.5546875" customWidth="1"/>
    <col min="11" max="11" width="12.5546875" customWidth="1"/>
    <col min="12" max="12" width="8.88671875" customWidth="1"/>
    <col min="13" max="13" width="0.77734375" customWidth="1"/>
    <col min="14" max="14" width="0.6640625" customWidth="1"/>
    <col min="15" max="17" width="8.88671875" customWidth="1"/>
  </cols>
  <sheetData>
    <row r="1" spans="1:17" ht="0.75" customHeight="1" x14ac:dyDescent="0.2">
      <c r="A1" s="123"/>
      <c r="B1" s="123"/>
      <c r="C1" s="123"/>
      <c r="D1" s="123"/>
      <c r="E1" s="123"/>
      <c r="F1" s="123"/>
      <c r="G1" s="123"/>
      <c r="H1" s="123"/>
      <c r="I1" s="123"/>
      <c r="J1" s="123"/>
      <c r="K1" s="123"/>
      <c r="L1" s="123"/>
      <c r="M1" s="123"/>
      <c r="N1" s="26" t="s">
        <v>0</v>
      </c>
      <c r="O1" s="123"/>
      <c r="P1" s="123"/>
      <c r="Q1" s="123"/>
    </row>
    <row r="2" spans="1:17" ht="27.75" x14ac:dyDescent="0.4">
      <c r="A2" s="27" t="s">
        <v>93</v>
      </c>
      <c r="B2" s="123"/>
      <c r="C2" s="123"/>
      <c r="D2" s="123"/>
      <c r="E2" s="123"/>
      <c r="F2" s="123"/>
      <c r="G2" s="123"/>
      <c r="H2" s="123"/>
      <c r="I2" s="123"/>
      <c r="J2" s="123"/>
      <c r="K2" s="123"/>
      <c r="L2" s="123"/>
      <c r="M2" s="123"/>
      <c r="N2" s="26"/>
      <c r="O2" s="123"/>
      <c r="P2" s="123"/>
      <c r="Q2" s="123"/>
    </row>
    <row r="3" spans="1:17" ht="52.5" customHeight="1" x14ac:dyDescent="0.2">
      <c r="A3" s="123"/>
      <c r="B3" s="119"/>
      <c r="C3" s="128" t="s">
        <v>94</v>
      </c>
      <c r="D3" s="128"/>
      <c r="E3" s="128"/>
      <c r="F3" s="128"/>
      <c r="G3" s="128"/>
      <c r="H3" s="128"/>
      <c r="I3" s="128"/>
      <c r="J3" s="128"/>
      <c r="K3" s="128"/>
      <c r="L3" s="128"/>
      <c r="M3" s="119"/>
      <c r="N3" s="26"/>
      <c r="O3" s="123"/>
      <c r="P3" s="123"/>
      <c r="Q3" s="123"/>
    </row>
    <row r="4" spans="1:17" ht="20.25" thickBot="1" x14ac:dyDescent="0.35">
      <c r="A4" s="3" t="s">
        <v>22</v>
      </c>
      <c r="B4" s="3"/>
      <c r="C4" s="3"/>
      <c r="D4" s="3"/>
      <c r="E4" s="3"/>
      <c r="F4" s="3"/>
      <c r="G4" s="3"/>
      <c r="H4" s="3"/>
      <c r="I4" s="3"/>
      <c r="J4" s="3"/>
      <c r="K4" s="3"/>
      <c r="L4" s="123"/>
      <c r="M4" s="123"/>
      <c r="N4" s="26"/>
      <c r="O4" s="123" t="str">
        <f>"Costs Vs Benefits (Total "&amp;DurationYrs&amp;"-Year)"</f>
        <v>Costs Vs Benefits (Total 5-Year)</v>
      </c>
      <c r="P4" s="123"/>
      <c r="Q4" s="123"/>
    </row>
    <row r="5" spans="1:17" ht="15.75" thickTop="1" x14ac:dyDescent="0.2">
      <c r="A5" s="123"/>
      <c r="B5" s="123"/>
      <c r="C5" s="137" t="s">
        <v>95</v>
      </c>
      <c r="D5" s="137"/>
      <c r="E5" s="137"/>
      <c r="F5" s="137"/>
      <c r="G5" s="137"/>
      <c r="H5" s="137"/>
      <c r="I5" s="137"/>
      <c r="J5" s="137"/>
      <c r="K5" s="137"/>
      <c r="L5" s="123"/>
      <c r="M5" s="123"/>
      <c r="N5" s="26"/>
      <c r="O5" s="123"/>
      <c r="P5" s="123"/>
      <c r="Q5" s="123"/>
    </row>
    <row r="6" spans="1:17" ht="6.75" customHeight="1" thickBot="1" x14ac:dyDescent="0.25">
      <c r="A6" s="123"/>
      <c r="B6" s="123"/>
      <c r="C6" s="120"/>
      <c r="D6" s="123"/>
      <c r="E6" s="123"/>
      <c r="F6" s="123"/>
      <c r="G6" s="123"/>
      <c r="H6" s="123"/>
      <c r="I6" s="123"/>
      <c r="J6" s="123"/>
      <c r="K6" s="123"/>
      <c r="L6" s="123"/>
      <c r="M6" s="123"/>
      <c r="N6" s="26"/>
      <c r="O6" s="123"/>
      <c r="P6" s="123"/>
      <c r="Q6" s="123"/>
    </row>
    <row r="7" spans="1:17" ht="17.25" thickBot="1" x14ac:dyDescent="0.3">
      <c r="A7" s="123"/>
      <c r="B7" s="90" t="s">
        <v>22</v>
      </c>
      <c r="C7" s="123"/>
      <c r="D7" s="5" t="s">
        <v>42</v>
      </c>
      <c r="E7" s="5" t="s">
        <v>25</v>
      </c>
      <c r="F7" s="5" t="str">
        <f>"Total (" &amp; DurationYrs &amp;"-Year)"</f>
        <v>Total (5-Year)</v>
      </c>
      <c r="G7" s="123"/>
      <c r="H7" s="123"/>
      <c r="I7" s="123"/>
      <c r="J7" s="123"/>
      <c r="K7" s="123"/>
      <c r="L7" s="123"/>
      <c r="M7" s="123"/>
      <c r="N7" s="26"/>
      <c r="O7" s="123"/>
      <c r="P7" s="123"/>
      <c r="Q7" s="123"/>
    </row>
    <row r="8" spans="1:17" ht="15.75" thickBot="1" x14ac:dyDescent="0.25">
      <c r="A8" s="123"/>
      <c r="B8" s="123"/>
      <c r="C8" s="91" t="s">
        <v>96</v>
      </c>
      <c r="D8" s="92">
        <f>D22</f>
        <v>224504</v>
      </c>
      <c r="E8" s="92">
        <f>E22</f>
        <v>64391.759999999995</v>
      </c>
      <c r="F8" s="92">
        <f>D8+DurationYrs*E8</f>
        <v>546462.80000000005</v>
      </c>
      <c r="G8" s="123"/>
      <c r="H8" s="123"/>
      <c r="I8" s="123"/>
      <c r="J8" s="123"/>
      <c r="K8" s="123"/>
      <c r="L8" s="123"/>
      <c r="M8" s="123"/>
      <c r="N8" s="26"/>
      <c r="O8" s="123"/>
      <c r="P8" s="123"/>
      <c r="Q8" s="123"/>
    </row>
    <row r="9" spans="1:17" ht="15.75" thickBot="1" x14ac:dyDescent="0.25">
      <c r="A9" s="123"/>
      <c r="B9" s="123"/>
      <c r="C9" s="91" t="s">
        <v>97</v>
      </c>
      <c r="D9" s="92">
        <f>D29</f>
        <v>0</v>
      </c>
      <c r="E9" s="92">
        <f>E29</f>
        <v>585471.63453757181</v>
      </c>
      <c r="F9" s="92">
        <f>D9+DurationYrs*E9</f>
        <v>2927358.1726878593</v>
      </c>
      <c r="G9" s="123"/>
      <c r="H9" s="123"/>
      <c r="I9" s="123"/>
      <c r="J9" s="123"/>
      <c r="K9" s="123"/>
      <c r="L9" s="123"/>
      <c r="M9" s="123"/>
      <c r="N9" s="26"/>
      <c r="O9" s="123"/>
      <c r="P9" s="123"/>
      <c r="Q9" s="123"/>
    </row>
    <row r="10" spans="1:17" ht="15.75" thickTop="1" x14ac:dyDescent="0.2">
      <c r="A10" s="123"/>
      <c r="B10" s="123"/>
      <c r="C10" s="91" t="s">
        <v>98</v>
      </c>
      <c r="D10" s="123"/>
      <c r="E10" s="123"/>
      <c r="F10" s="93">
        <f>F9-F8</f>
        <v>2380895.3726878595</v>
      </c>
      <c r="G10" s="123"/>
      <c r="H10" s="123"/>
      <c r="I10" s="123"/>
      <c r="J10" s="123"/>
      <c r="K10" s="123"/>
      <c r="L10" s="123"/>
      <c r="M10" s="123"/>
      <c r="N10" s="26"/>
      <c r="O10" s="123"/>
      <c r="P10" s="123"/>
      <c r="Q10" s="123"/>
    </row>
    <row r="11" spans="1:17" x14ac:dyDescent="0.2">
      <c r="A11" s="123"/>
      <c r="B11" s="123"/>
      <c r="C11" s="91" t="s">
        <v>99</v>
      </c>
      <c r="D11" s="123"/>
      <c r="E11" s="123"/>
      <c r="F11" s="116">
        <f>D39</f>
        <v>1718534.1159125483</v>
      </c>
      <c r="G11" s="123"/>
      <c r="H11" s="123"/>
      <c r="I11" s="123"/>
      <c r="J11" s="123"/>
      <c r="K11" s="123"/>
      <c r="L11" s="123"/>
      <c r="M11" s="123"/>
      <c r="N11" s="26"/>
      <c r="O11" s="123"/>
      <c r="P11" s="123"/>
      <c r="Q11" s="123"/>
    </row>
    <row r="12" spans="1:17" ht="8.25" customHeight="1" thickBot="1" x14ac:dyDescent="0.25">
      <c r="A12" s="123"/>
      <c r="B12" s="123"/>
      <c r="C12" s="123"/>
      <c r="D12" s="123"/>
      <c r="E12" s="123"/>
      <c r="F12" s="123"/>
      <c r="G12" s="123"/>
      <c r="H12" s="123"/>
      <c r="I12" s="123"/>
      <c r="J12" s="123"/>
      <c r="K12" s="123"/>
      <c r="L12" s="123"/>
      <c r="M12" s="123"/>
      <c r="N12" s="26"/>
      <c r="O12" s="123"/>
      <c r="P12" s="123"/>
      <c r="Q12" s="123"/>
    </row>
    <row r="13" spans="1:17" ht="15.75" thickBot="1" x14ac:dyDescent="0.25">
      <c r="A13" s="123"/>
      <c r="B13" s="123"/>
      <c r="C13" s="91" t="s">
        <v>100</v>
      </c>
      <c r="D13" s="123"/>
      <c r="E13" s="123"/>
      <c r="F13" s="94">
        <f>IFERROR(F10/F8,"")</f>
        <v>4.3569212262716865</v>
      </c>
      <c r="G13" s="123"/>
      <c r="H13" s="123"/>
      <c r="I13" s="123"/>
      <c r="J13" s="123"/>
      <c r="K13" s="123"/>
      <c r="L13" s="123"/>
      <c r="M13" s="123"/>
      <c r="N13" s="26"/>
      <c r="O13" s="123"/>
      <c r="P13" s="123"/>
      <c r="Q13" s="123"/>
    </row>
    <row r="14" spans="1:17" ht="15.75" thickBot="1" x14ac:dyDescent="0.25">
      <c r="A14" s="123"/>
      <c r="B14" s="123"/>
      <c r="C14" s="91" t="s">
        <v>101</v>
      </c>
      <c r="D14" s="123"/>
      <c r="E14" s="123"/>
      <c r="F14" s="95">
        <f>D36</f>
        <v>5.1701248342987949</v>
      </c>
      <c r="G14" s="123"/>
      <c r="H14" s="123"/>
      <c r="I14" s="123"/>
      <c r="J14" s="123"/>
      <c r="K14" s="123"/>
      <c r="L14" s="123"/>
      <c r="M14" s="123"/>
      <c r="N14" s="26"/>
      <c r="O14" s="123"/>
      <c r="P14" s="123"/>
      <c r="Q14" s="123"/>
    </row>
    <row r="15" spans="1:17" x14ac:dyDescent="0.2">
      <c r="A15" s="123"/>
      <c r="B15" s="123"/>
      <c r="C15" s="123"/>
      <c r="D15" s="123"/>
      <c r="E15" s="123"/>
      <c r="F15" s="123"/>
      <c r="G15" s="123"/>
      <c r="H15" s="123"/>
      <c r="I15" s="123"/>
      <c r="J15" s="123"/>
      <c r="K15" s="123"/>
      <c r="L15" s="123"/>
      <c r="M15" s="123"/>
      <c r="N15" s="26"/>
      <c r="O15" s="123"/>
      <c r="P15" s="123"/>
      <c r="Q15" s="123"/>
    </row>
    <row r="16" spans="1:17" ht="17.25" thickBot="1" x14ac:dyDescent="0.3">
      <c r="A16" s="123"/>
      <c r="B16" s="90" t="s">
        <v>102</v>
      </c>
      <c r="C16" s="123"/>
      <c r="D16" s="123"/>
      <c r="E16" s="123"/>
      <c r="F16" s="123"/>
      <c r="G16" s="123"/>
      <c r="H16" s="123"/>
      <c r="I16" s="123"/>
      <c r="J16" s="123"/>
      <c r="K16" s="123"/>
      <c r="L16" s="123"/>
      <c r="M16" s="123"/>
      <c r="N16" s="26"/>
      <c r="O16" s="123"/>
      <c r="P16" s="123"/>
      <c r="Q16" s="123"/>
    </row>
    <row r="17" spans="1:17" ht="16.5" thickBot="1" x14ac:dyDescent="0.3">
      <c r="A17" s="123"/>
      <c r="B17" s="123"/>
      <c r="C17" s="5" t="s">
        <v>103</v>
      </c>
      <c r="D17" s="5" t="s">
        <v>42</v>
      </c>
      <c r="E17" s="5" t="s">
        <v>25</v>
      </c>
      <c r="F17" s="5" t="str">
        <f>"Total (" &amp; DurationYrs &amp;"-Year)"</f>
        <v>Total (5-Year)</v>
      </c>
      <c r="G17" s="123"/>
      <c r="H17" s="123"/>
      <c r="I17" s="123"/>
      <c r="J17" s="123"/>
      <c r="K17" s="123"/>
      <c r="L17" s="123"/>
      <c r="M17" s="123"/>
      <c r="N17" s="26"/>
      <c r="O17" s="123"/>
      <c r="P17" s="123"/>
      <c r="Q17" s="123"/>
    </row>
    <row r="18" spans="1:17" ht="15.75" thickBot="1" x14ac:dyDescent="0.25">
      <c r="A18" s="123"/>
      <c r="B18" s="123"/>
      <c r="C18" s="127" t="str">
        <f>Costs!C7</f>
        <v>Vendor Costs</v>
      </c>
      <c r="D18" s="92">
        <f>Costs!D7</f>
        <v>124944</v>
      </c>
      <c r="E18" s="92">
        <f>Costs!E7</f>
        <v>30187.200000000001</v>
      </c>
      <c r="F18" s="92">
        <f>D18+DurationYrs*E18</f>
        <v>275880</v>
      </c>
      <c r="G18" s="123"/>
      <c r="H18" s="123"/>
      <c r="I18" s="123"/>
      <c r="J18" s="123"/>
      <c r="K18" s="123"/>
      <c r="L18" s="123"/>
      <c r="M18" s="123"/>
      <c r="N18" s="26"/>
      <c r="O18" s="123"/>
      <c r="P18" s="123"/>
      <c r="Q18" s="123"/>
    </row>
    <row r="19" spans="1:17" ht="15.75" thickBot="1" x14ac:dyDescent="0.25">
      <c r="A19" s="123"/>
      <c r="B19" s="123"/>
      <c r="C19" s="127" t="str">
        <f>Costs!C8</f>
        <v>Internal Costs</v>
      </c>
      <c r="D19" s="92">
        <f>Costs!D8</f>
        <v>21888</v>
      </c>
      <c r="E19" s="92">
        <f>Costs!E8</f>
        <v>4815.3599999999997</v>
      </c>
      <c r="F19" s="92">
        <f>D19+DurationYrs*E19</f>
        <v>45964.800000000003</v>
      </c>
      <c r="G19" s="123"/>
      <c r="H19" s="123"/>
      <c r="I19" s="123"/>
      <c r="J19" s="123"/>
      <c r="K19" s="123"/>
      <c r="L19" s="123"/>
      <c r="M19" s="123"/>
      <c r="N19" s="26"/>
      <c r="O19" s="123"/>
      <c r="P19" s="123"/>
      <c r="Q19" s="123"/>
    </row>
    <row r="20" spans="1:17" ht="15.75" thickBot="1" x14ac:dyDescent="0.25">
      <c r="A20" s="123"/>
      <c r="B20" s="123"/>
      <c r="C20" s="127" t="str">
        <f>Costs!C9</f>
        <v>Internal Labor</v>
      </c>
      <c r="D20" s="92">
        <f>Costs!D9</f>
        <v>68856</v>
      </c>
      <c r="E20" s="92">
        <f>Costs!E9</f>
        <v>21850</v>
      </c>
      <c r="F20" s="92">
        <f>D20+DurationYrs*E20</f>
        <v>178106</v>
      </c>
      <c r="G20" s="123"/>
      <c r="H20" s="123"/>
      <c r="I20" s="123"/>
      <c r="J20" s="123"/>
      <c r="K20" s="123"/>
      <c r="L20" s="123"/>
      <c r="M20" s="123"/>
      <c r="N20" s="26"/>
      <c r="O20" s="123"/>
      <c r="P20" s="123"/>
      <c r="Q20" s="123"/>
    </row>
    <row r="21" spans="1:17" ht="15.75" thickBot="1" x14ac:dyDescent="0.25">
      <c r="A21" s="123"/>
      <c r="B21" s="123"/>
      <c r="C21" s="127" t="str">
        <f>Costs!C10</f>
        <v>3rd Party Services</v>
      </c>
      <c r="D21" s="92">
        <f>Costs!D10</f>
        <v>8816</v>
      </c>
      <c r="E21" s="92">
        <f>Costs!E10</f>
        <v>7539.2</v>
      </c>
      <c r="F21" s="92">
        <f>D21+DurationYrs*E21</f>
        <v>46512</v>
      </c>
      <c r="G21" s="123"/>
      <c r="H21" s="123"/>
      <c r="I21" s="123"/>
      <c r="J21" s="123"/>
      <c r="K21" s="123"/>
      <c r="L21" s="123"/>
      <c r="M21" s="123"/>
      <c r="N21" s="26"/>
      <c r="O21" s="123"/>
      <c r="P21" s="123"/>
      <c r="Q21" s="123"/>
    </row>
    <row r="22" spans="1:17" ht="15.75" thickTop="1" x14ac:dyDescent="0.2">
      <c r="A22" s="123"/>
      <c r="B22" s="123"/>
      <c r="C22" s="8" t="s">
        <v>26</v>
      </c>
      <c r="D22" s="93">
        <f>SUM(D18:D21)</f>
        <v>224504</v>
      </c>
      <c r="E22" s="93">
        <f>SUM(E18:E21)</f>
        <v>64391.759999999995</v>
      </c>
      <c r="F22" s="93">
        <f>SUM(F18:F21)</f>
        <v>546462.80000000005</v>
      </c>
      <c r="G22" s="123"/>
      <c r="H22" s="123"/>
      <c r="I22" s="123"/>
      <c r="J22" s="123"/>
      <c r="K22" s="123"/>
      <c r="L22" s="123"/>
      <c r="M22" s="123"/>
      <c r="N22" s="26"/>
      <c r="O22" s="123"/>
      <c r="P22" s="123"/>
      <c r="Q22" s="123"/>
    </row>
    <row r="23" spans="1:17" x14ac:dyDescent="0.2">
      <c r="A23" s="123"/>
      <c r="B23" s="123"/>
      <c r="C23" s="123"/>
      <c r="D23" s="123"/>
      <c r="E23" s="123"/>
      <c r="F23" s="123"/>
      <c r="G23" s="123"/>
      <c r="H23" s="123"/>
      <c r="I23" s="123"/>
      <c r="J23" s="123"/>
      <c r="K23" s="123"/>
      <c r="L23" s="123"/>
      <c r="M23" s="123"/>
      <c r="N23" s="26"/>
      <c r="O23" s="123"/>
      <c r="P23" s="123"/>
      <c r="Q23" s="123"/>
    </row>
    <row r="24" spans="1:17" ht="17.25" thickBot="1" x14ac:dyDescent="0.3">
      <c r="A24" s="123"/>
      <c r="B24" s="90" t="s">
        <v>104</v>
      </c>
      <c r="C24" s="123"/>
      <c r="D24" s="123"/>
      <c r="E24" s="123"/>
      <c r="F24" s="123"/>
      <c r="G24" s="123"/>
      <c r="H24" s="123"/>
      <c r="I24" s="123"/>
      <c r="J24" s="123"/>
      <c r="K24" s="123"/>
      <c r="L24" s="123"/>
      <c r="M24" s="123"/>
      <c r="N24" s="26"/>
      <c r="O24" s="123"/>
      <c r="P24" s="123"/>
      <c r="Q24" s="123"/>
    </row>
    <row r="25" spans="1:17" ht="16.5" thickBot="1" x14ac:dyDescent="0.3">
      <c r="A25" s="123"/>
      <c r="B25" s="123"/>
      <c r="C25" s="5" t="s">
        <v>41</v>
      </c>
      <c r="D25" s="5" t="s">
        <v>42</v>
      </c>
      <c r="E25" s="5" t="s">
        <v>25</v>
      </c>
      <c r="F25" s="5" t="str">
        <f>"Total (" &amp; DurationYrs &amp;"-Year)"</f>
        <v>Total (5-Year)</v>
      </c>
      <c r="G25" s="123"/>
      <c r="H25" s="123"/>
      <c r="I25" s="123"/>
      <c r="J25" s="123"/>
      <c r="K25" s="123"/>
      <c r="L25" s="123"/>
      <c r="M25" s="123"/>
      <c r="N25" s="26"/>
      <c r="O25" s="123"/>
      <c r="P25" s="123"/>
      <c r="Q25" s="123"/>
    </row>
    <row r="26" spans="1:17" ht="15.75" thickBot="1" x14ac:dyDescent="0.25">
      <c r="A26" s="123"/>
      <c r="B26" s="123"/>
      <c r="C26" s="91" t="s">
        <v>105</v>
      </c>
      <c r="D26" s="92">
        <f>Benefits!D7</f>
        <v>0</v>
      </c>
      <c r="E26" s="92">
        <f>Benefits!E7</f>
        <v>216111.63453757181</v>
      </c>
      <c r="F26" s="92">
        <f>D26+DurationYrs*E26</f>
        <v>1080558.172687859</v>
      </c>
      <c r="G26" s="123"/>
      <c r="H26" s="123"/>
      <c r="I26" s="123"/>
      <c r="J26" s="123"/>
      <c r="K26" s="123"/>
      <c r="L26" s="123"/>
      <c r="M26" s="123"/>
      <c r="N26" s="26"/>
      <c r="O26" s="123"/>
      <c r="P26" s="123"/>
      <c r="Q26" s="123"/>
    </row>
    <row r="27" spans="1:17" ht="15.75" thickBot="1" x14ac:dyDescent="0.25">
      <c r="A27" s="123"/>
      <c r="B27" s="123"/>
      <c r="C27" s="91" t="s">
        <v>106</v>
      </c>
      <c r="D27" s="92">
        <f>Benefits!D8</f>
        <v>0</v>
      </c>
      <c r="E27" s="92">
        <f>Benefits!E8</f>
        <v>164160</v>
      </c>
      <c r="F27" s="92">
        <f>D27+DurationYrs*E27</f>
        <v>820800</v>
      </c>
      <c r="G27" s="123"/>
      <c r="H27" s="123"/>
      <c r="I27" s="123"/>
      <c r="J27" s="123"/>
      <c r="K27" s="123"/>
      <c r="L27" s="123"/>
      <c r="M27" s="123"/>
      <c r="N27" s="26"/>
      <c r="O27" s="123"/>
      <c r="P27" s="123"/>
      <c r="Q27" s="123"/>
    </row>
    <row r="28" spans="1:17" ht="15.75" thickBot="1" x14ac:dyDescent="0.25">
      <c r="A28" s="123"/>
      <c r="B28" s="123"/>
      <c r="C28" s="91" t="s">
        <v>107</v>
      </c>
      <c r="D28" s="92">
        <f>Benefits!D9</f>
        <v>0</v>
      </c>
      <c r="E28" s="92">
        <f>Benefits!E9</f>
        <v>205200</v>
      </c>
      <c r="F28" s="92">
        <f>D28+DurationYrs*E28</f>
        <v>1026000</v>
      </c>
      <c r="G28" s="123"/>
      <c r="H28" s="123"/>
      <c r="I28" s="123"/>
      <c r="J28" s="123"/>
      <c r="K28" s="123"/>
      <c r="L28" s="123"/>
      <c r="M28" s="123"/>
      <c r="N28" s="26"/>
      <c r="O28" s="123"/>
      <c r="P28" s="123"/>
      <c r="Q28" s="123"/>
    </row>
    <row r="29" spans="1:17" ht="15.75" thickTop="1" x14ac:dyDescent="0.2">
      <c r="A29" s="123"/>
      <c r="B29" s="123"/>
      <c r="C29" s="8" t="s">
        <v>26</v>
      </c>
      <c r="D29" s="93">
        <f>SUM(D26:D28)</f>
        <v>0</v>
      </c>
      <c r="E29" s="93">
        <f>SUM(E26:E28)</f>
        <v>585471.63453757181</v>
      </c>
      <c r="F29" s="93">
        <f>SUM(F26:F28)</f>
        <v>2927358.1726878593</v>
      </c>
      <c r="G29" s="123"/>
      <c r="H29" s="123"/>
      <c r="I29" s="123"/>
      <c r="J29" s="123"/>
      <c r="K29" s="123"/>
      <c r="L29" s="123"/>
      <c r="M29" s="123"/>
      <c r="N29" s="26"/>
      <c r="O29" s="123"/>
      <c r="P29" s="123"/>
      <c r="Q29" s="123"/>
    </row>
    <row r="30" spans="1:17" x14ac:dyDescent="0.2">
      <c r="A30" s="123"/>
      <c r="B30" s="123"/>
      <c r="C30" s="123"/>
      <c r="D30" s="123"/>
      <c r="E30" s="123"/>
      <c r="F30" s="123"/>
      <c r="G30" s="123"/>
      <c r="H30" s="123"/>
      <c r="I30" s="123"/>
      <c r="J30" s="123"/>
      <c r="K30" s="123"/>
      <c r="L30" s="123"/>
      <c r="M30" s="123"/>
      <c r="N30" s="26"/>
      <c r="O30" s="123"/>
      <c r="P30" s="123"/>
      <c r="Q30" s="123"/>
    </row>
    <row r="31" spans="1:17" ht="234" customHeight="1" x14ac:dyDescent="0.2">
      <c r="A31" s="123"/>
      <c r="B31" s="123"/>
      <c r="C31" s="123"/>
      <c r="D31" s="123"/>
      <c r="E31" s="123"/>
      <c r="F31" s="123"/>
      <c r="G31" s="123"/>
      <c r="H31" s="123"/>
      <c r="I31" s="123"/>
      <c r="J31" s="123"/>
      <c r="K31" s="123"/>
      <c r="L31" s="123"/>
      <c r="M31" s="123"/>
      <c r="N31" s="26"/>
      <c r="O31" s="123"/>
      <c r="P31" s="123"/>
      <c r="Q31" s="123"/>
    </row>
    <row r="32" spans="1:17" x14ac:dyDescent="0.2">
      <c r="A32" s="123"/>
      <c r="B32" s="123"/>
      <c r="C32" s="123"/>
      <c r="D32" s="123"/>
      <c r="E32" s="123"/>
      <c r="F32" s="123"/>
      <c r="G32" s="123"/>
      <c r="H32" s="123"/>
      <c r="I32" s="123"/>
      <c r="J32" s="123"/>
      <c r="K32" s="123"/>
      <c r="L32" s="123"/>
      <c r="M32" s="123"/>
      <c r="N32" s="26"/>
      <c r="O32" s="123"/>
      <c r="P32" s="123"/>
      <c r="Q32" s="123"/>
    </row>
    <row r="33" spans="1:17" ht="20.25" thickBot="1" x14ac:dyDescent="0.35">
      <c r="A33" s="3" t="s">
        <v>108</v>
      </c>
      <c r="B33" s="3"/>
      <c r="C33" s="3"/>
      <c r="D33" s="3"/>
      <c r="E33" s="3"/>
      <c r="F33" s="3"/>
      <c r="G33" s="3"/>
      <c r="H33" s="3"/>
      <c r="I33" s="3"/>
      <c r="J33" s="3"/>
      <c r="K33" s="3"/>
      <c r="L33" s="123"/>
      <c r="M33" s="123"/>
      <c r="N33" s="26"/>
      <c r="O33" s="123"/>
      <c r="P33" s="123"/>
      <c r="Q33" s="123"/>
    </row>
    <row r="34" spans="1:17" ht="39.75" customHeight="1" thickTop="1" thickBot="1" x14ac:dyDescent="0.25">
      <c r="A34" s="123"/>
      <c r="B34" s="123"/>
      <c r="C34" s="137" t="s">
        <v>109</v>
      </c>
      <c r="D34" s="137"/>
      <c r="E34" s="137"/>
      <c r="F34" s="137"/>
      <c r="G34" s="137"/>
      <c r="H34" s="137"/>
      <c r="I34" s="123"/>
      <c r="J34" s="123"/>
      <c r="K34" s="123"/>
      <c r="L34" s="123"/>
      <c r="M34" s="123"/>
      <c r="N34" s="26"/>
      <c r="O34" s="123"/>
      <c r="P34" s="123"/>
      <c r="Q34" s="123"/>
    </row>
    <row r="35" spans="1:17" ht="15.75" thickBot="1" x14ac:dyDescent="0.25">
      <c r="A35" s="123"/>
      <c r="B35" s="123"/>
      <c r="C35" s="51" t="s">
        <v>98</v>
      </c>
      <c r="D35" s="114">
        <f>G63</f>
        <v>2380895.372687859</v>
      </c>
      <c r="E35" s="120"/>
      <c r="F35" s="123"/>
      <c r="G35" s="123"/>
      <c r="H35" s="123"/>
      <c r="I35" s="123"/>
      <c r="J35" s="123"/>
      <c r="K35" s="123"/>
      <c r="L35" s="123"/>
      <c r="M35" s="123"/>
      <c r="N35" s="26"/>
      <c r="O35" s="123"/>
      <c r="P35" s="123"/>
      <c r="Q35" s="123"/>
    </row>
    <row r="36" spans="1:17" ht="15.75" thickBot="1" x14ac:dyDescent="0.25">
      <c r="A36" s="123"/>
      <c r="B36" s="123"/>
      <c r="C36" s="51" t="s">
        <v>110</v>
      </c>
      <c r="D36" s="11">
        <f>D66</f>
        <v>5.1701248342987949</v>
      </c>
      <c r="E36" s="120"/>
      <c r="F36" s="123"/>
      <c r="G36" s="123"/>
      <c r="H36" s="123"/>
      <c r="I36" s="123"/>
      <c r="J36" s="123"/>
      <c r="K36" s="123"/>
      <c r="L36" s="123"/>
      <c r="M36" s="123"/>
      <c r="N36" s="26"/>
      <c r="O36" s="123"/>
      <c r="P36" s="123"/>
      <c r="Q36" s="123"/>
    </row>
    <row r="37" spans="1:17" ht="9.75" customHeight="1" thickBot="1" x14ac:dyDescent="0.25">
      <c r="A37" s="123"/>
      <c r="B37" s="123"/>
      <c r="C37" s="120"/>
      <c r="D37" s="120"/>
      <c r="E37" s="120"/>
      <c r="F37" s="123"/>
      <c r="G37" s="123"/>
      <c r="H37" s="123"/>
      <c r="I37" s="123"/>
      <c r="J37" s="123"/>
      <c r="K37" s="123"/>
      <c r="L37" s="123"/>
      <c r="M37" s="123"/>
      <c r="N37" s="26"/>
      <c r="O37" s="123"/>
      <c r="P37" s="123"/>
      <c r="Q37" s="123"/>
    </row>
    <row r="38" spans="1:17" ht="30.75" thickBot="1" x14ac:dyDescent="0.25">
      <c r="A38" s="123"/>
      <c r="B38" s="123"/>
      <c r="C38" s="51" t="s">
        <v>111</v>
      </c>
      <c r="D38" s="113">
        <f>0.08</f>
        <v>0.08</v>
      </c>
      <c r="E38" s="31" t="s">
        <v>112</v>
      </c>
      <c r="F38" s="123"/>
      <c r="G38" s="123"/>
      <c r="H38" s="123"/>
      <c r="I38" s="123"/>
      <c r="J38" s="123"/>
      <c r="K38" s="123"/>
      <c r="L38" s="123"/>
      <c r="M38" s="123"/>
      <c r="N38" s="26"/>
      <c r="O38" s="123"/>
      <c r="P38" s="123"/>
      <c r="Q38" s="123"/>
    </row>
    <row r="39" spans="1:17" ht="15.75" thickBot="1" x14ac:dyDescent="0.25">
      <c r="A39" s="123"/>
      <c r="B39" s="123"/>
      <c r="C39" s="51" t="s">
        <v>99</v>
      </c>
      <c r="D39" s="114">
        <f>G64</f>
        <v>1718534.1159125483</v>
      </c>
      <c r="E39" s="123"/>
      <c r="F39" s="123"/>
      <c r="G39" s="123"/>
      <c r="H39" s="123"/>
      <c r="I39" s="123"/>
      <c r="J39" s="123"/>
      <c r="K39" s="123"/>
      <c r="L39" s="123"/>
      <c r="M39" s="123"/>
      <c r="N39" s="26"/>
      <c r="O39" s="123"/>
      <c r="P39" s="123"/>
      <c r="Q39" s="123"/>
    </row>
    <row r="40" spans="1:17" ht="303" customHeight="1" x14ac:dyDescent="0.2">
      <c r="A40" s="123"/>
      <c r="B40" s="123"/>
      <c r="C40" s="7"/>
      <c r="D40" s="7"/>
      <c r="E40" s="7"/>
      <c r="F40" s="7"/>
      <c r="G40" s="7"/>
      <c r="H40" s="7"/>
      <c r="I40" s="123"/>
      <c r="J40" s="123"/>
      <c r="K40" s="123"/>
      <c r="L40" s="123"/>
      <c r="M40" s="123"/>
      <c r="N40" s="26"/>
      <c r="O40" s="123"/>
      <c r="P40" s="123"/>
      <c r="Q40" s="123"/>
    </row>
    <row r="41" spans="1:17" ht="25.5" customHeight="1" x14ac:dyDescent="0.2">
      <c r="A41" s="123"/>
      <c r="B41" s="78" t="str">
        <f>Start!$B$27</f>
        <v>© AnalysisPlace</v>
      </c>
      <c r="C41" s="123"/>
      <c r="D41" s="123"/>
      <c r="E41" s="123"/>
      <c r="F41" s="123"/>
      <c r="G41" s="123"/>
      <c r="H41" s="123"/>
      <c r="I41" s="123"/>
      <c r="J41" s="123"/>
      <c r="K41" s="123"/>
      <c r="L41" s="123"/>
      <c r="M41" s="123"/>
      <c r="N41" s="26"/>
      <c r="O41" s="123"/>
      <c r="P41" s="123"/>
      <c r="Q41" s="123"/>
    </row>
    <row r="42" spans="1:17" ht="4.5" customHeight="1" x14ac:dyDescent="0.2">
      <c r="A42" s="26" t="s">
        <v>0</v>
      </c>
      <c r="B42" s="26"/>
      <c r="C42" s="26"/>
      <c r="D42" s="26"/>
      <c r="E42" s="26"/>
      <c r="F42" s="26"/>
      <c r="G42" s="26"/>
      <c r="H42" s="26"/>
      <c r="I42" s="26"/>
      <c r="J42" s="26"/>
      <c r="K42" s="26"/>
      <c r="L42" s="26"/>
      <c r="M42" s="26"/>
      <c r="N42" s="26"/>
      <c r="O42" s="123"/>
      <c r="P42" s="123"/>
      <c r="Q42" s="123"/>
    </row>
    <row r="43" spans="1:17" ht="15.75" thickBot="1" x14ac:dyDescent="0.25"/>
    <row r="44" spans="1:17" ht="16.5" thickBot="1" x14ac:dyDescent="0.3">
      <c r="D44" s="5" t="str">
        <f t="shared" ref="D44:E44" si="0">D7</f>
        <v>One Time</v>
      </c>
      <c r="E44" s="5" t="str">
        <f t="shared" si="0"/>
        <v>Annual</v>
      </c>
    </row>
    <row r="45" spans="1:17" ht="15.75" thickBot="1" x14ac:dyDescent="0.25">
      <c r="C45" s="106" t="str">
        <f>C8</f>
        <v>Total Costs</v>
      </c>
      <c r="D45" s="9">
        <f>-D8</f>
        <v>-224504</v>
      </c>
      <c r="E45" s="9">
        <f>-E8</f>
        <v>-64391.759999999995</v>
      </c>
    </row>
    <row r="46" spans="1:17" ht="15.75" thickBot="1" x14ac:dyDescent="0.25">
      <c r="C46" s="106" t="str">
        <f t="shared" ref="C46:E46" si="1">C9</f>
        <v>Total Benefits</v>
      </c>
      <c r="D46" s="9">
        <f t="shared" si="1"/>
        <v>0</v>
      </c>
      <c r="E46" s="9">
        <f t="shared" si="1"/>
        <v>585471.63453757181</v>
      </c>
    </row>
    <row r="47" spans="1:17" ht="15.75" thickBot="1" x14ac:dyDescent="0.25">
      <c r="C47" s="106" t="s">
        <v>113</v>
      </c>
      <c r="D47" s="97">
        <f>DurationYrs</f>
        <v>5</v>
      </c>
      <c r="E47" t="s">
        <v>114</v>
      </c>
    </row>
    <row r="48" spans="1:17" ht="15.75" thickBot="1" x14ac:dyDescent="0.25">
      <c r="C48" s="106" t="str">
        <f>C71</f>
        <v>Cost Annual Growth Rate</v>
      </c>
      <c r="D48" s="107">
        <f>D71</f>
        <v>0</v>
      </c>
    </row>
    <row r="49" spans="3:10" ht="15.75" thickBot="1" x14ac:dyDescent="0.25">
      <c r="C49" s="106" t="str">
        <f>C72</f>
        <v>Benefit Annual Growth Rate</v>
      </c>
      <c r="D49" s="107">
        <f>D72</f>
        <v>0</v>
      </c>
    </row>
    <row r="50" spans="3:10" ht="15.75" thickBot="1" x14ac:dyDescent="0.25">
      <c r="C50" t="s">
        <v>115</v>
      </c>
      <c r="D50" t="s">
        <v>116</v>
      </c>
      <c r="E50" t="s">
        <v>117</v>
      </c>
      <c r="F50" t="s">
        <v>118</v>
      </c>
    </row>
    <row r="51" spans="3:10" ht="16.5" thickBot="1" x14ac:dyDescent="0.3">
      <c r="C51" s="5" t="s">
        <v>119</v>
      </c>
      <c r="D51" s="5" t="s">
        <v>120</v>
      </c>
      <c r="E51" s="5" t="s">
        <v>104</v>
      </c>
      <c r="F51" s="5" t="s">
        <v>121</v>
      </c>
      <c r="G51" s="5" t="s">
        <v>98</v>
      </c>
      <c r="H51" s="5" t="s">
        <v>122</v>
      </c>
      <c r="I51" s="5" t="s">
        <v>123</v>
      </c>
      <c r="J51" s="5" t="s">
        <v>119</v>
      </c>
    </row>
    <row r="52" spans="3:10" ht="15.75" thickBot="1" x14ac:dyDescent="0.25">
      <c r="C52" s="112" t="s">
        <v>124</v>
      </c>
      <c r="D52" s="108">
        <f>D45</f>
        <v>-224504</v>
      </c>
      <c r="E52" s="108">
        <v>0</v>
      </c>
      <c r="F52" s="108">
        <f>G52</f>
        <v>-224504</v>
      </c>
      <c r="G52" s="108">
        <f t="shared" ref="G52:G62" si="2">E52+D52</f>
        <v>-224504</v>
      </c>
      <c r="H52" s="105">
        <f t="shared" ref="H52" si="3">IF(J52&lt;=$D$47,1,0)</f>
        <v>1</v>
      </c>
      <c r="I52" s="105"/>
      <c r="J52" s="105">
        <v>0</v>
      </c>
    </row>
    <row r="53" spans="3:10" ht="15.75" thickBot="1" x14ac:dyDescent="0.25">
      <c r="C53" s="112" t="str">
        <f>"Year "&amp;J53</f>
        <v>Year 1</v>
      </c>
      <c r="D53" s="108">
        <f>$E$45</f>
        <v>-64391.759999999995</v>
      </c>
      <c r="E53" s="108">
        <f>D46+E46</f>
        <v>585471.63453757181</v>
      </c>
      <c r="F53" s="108">
        <f t="shared" ref="F53:F62" si="4">F52+G53</f>
        <v>296575.8745375718</v>
      </c>
      <c r="G53" s="108">
        <f t="shared" si="2"/>
        <v>521079.8745375718</v>
      </c>
      <c r="H53" s="105">
        <f>IF(J53&lt;=$D$47,1,0)</f>
        <v>1</v>
      </c>
      <c r="I53" s="109">
        <f t="shared" ref="I53:I62" si="5">IF(AND(F52&lt;=0,F53&gt;0),12*-F52/(F53-F52),0)</f>
        <v>5.1701248342987949</v>
      </c>
      <c r="J53" s="109">
        <v>1</v>
      </c>
    </row>
    <row r="54" spans="3:10" ht="15.75" thickBot="1" x14ac:dyDescent="0.25">
      <c r="C54" s="112" t="str">
        <f t="shared" ref="C54:C62" si="6">"Year "&amp;J54</f>
        <v>Year 2</v>
      </c>
      <c r="D54" s="108">
        <f t="shared" ref="D54:D62" si="7">D53*(1+$D$48)*H54</f>
        <v>-64391.759999999995</v>
      </c>
      <c r="E54" s="108">
        <f t="shared" ref="E54:E62" si="8">E53*(1+$D$49)*H54</f>
        <v>585471.63453757181</v>
      </c>
      <c r="F54" s="108">
        <f t="shared" si="4"/>
        <v>817655.7490751436</v>
      </c>
      <c r="G54" s="108">
        <f t="shared" si="2"/>
        <v>521079.8745375718</v>
      </c>
      <c r="H54" s="105">
        <f t="shared" ref="H54:H62" si="9">IF(J54&lt;=$D$47,1,0)</f>
        <v>1</v>
      </c>
      <c r="I54" s="109">
        <f t="shared" si="5"/>
        <v>0</v>
      </c>
      <c r="J54" s="109">
        <v>2</v>
      </c>
    </row>
    <row r="55" spans="3:10" ht="15.75" thickBot="1" x14ac:dyDescent="0.25">
      <c r="C55" s="112" t="str">
        <f t="shared" si="6"/>
        <v>Year 3</v>
      </c>
      <c r="D55" s="108">
        <f t="shared" si="7"/>
        <v>-64391.759999999995</v>
      </c>
      <c r="E55" s="108">
        <f t="shared" si="8"/>
        <v>585471.63453757181</v>
      </c>
      <c r="F55" s="108">
        <f t="shared" si="4"/>
        <v>1338735.6236127154</v>
      </c>
      <c r="G55" s="108">
        <f t="shared" si="2"/>
        <v>521079.8745375718</v>
      </c>
      <c r="H55" s="105">
        <f t="shared" si="9"/>
        <v>1</v>
      </c>
      <c r="I55" s="109">
        <f t="shared" si="5"/>
        <v>0</v>
      </c>
      <c r="J55" s="109">
        <v>3</v>
      </c>
    </row>
    <row r="56" spans="3:10" ht="15.75" thickBot="1" x14ac:dyDescent="0.25">
      <c r="C56" s="112" t="str">
        <f t="shared" si="6"/>
        <v>Year 4</v>
      </c>
      <c r="D56" s="108">
        <f t="shared" si="7"/>
        <v>-64391.759999999995</v>
      </c>
      <c r="E56" s="108">
        <f t="shared" si="8"/>
        <v>585471.63453757181</v>
      </c>
      <c r="F56" s="108">
        <f t="shared" si="4"/>
        <v>1859815.4981502872</v>
      </c>
      <c r="G56" s="108">
        <f t="shared" si="2"/>
        <v>521079.8745375718</v>
      </c>
      <c r="H56" s="105">
        <f t="shared" si="9"/>
        <v>1</v>
      </c>
      <c r="I56" s="109">
        <f t="shared" si="5"/>
        <v>0</v>
      </c>
      <c r="J56" s="109">
        <v>4</v>
      </c>
    </row>
    <row r="57" spans="3:10" ht="15.75" thickBot="1" x14ac:dyDescent="0.25">
      <c r="C57" s="112" t="str">
        <f t="shared" si="6"/>
        <v>Year 5</v>
      </c>
      <c r="D57" s="108">
        <f t="shared" si="7"/>
        <v>-64391.759999999995</v>
      </c>
      <c r="E57" s="108">
        <f t="shared" si="8"/>
        <v>585471.63453757181</v>
      </c>
      <c r="F57" s="108">
        <f t="shared" si="4"/>
        <v>2380895.372687859</v>
      </c>
      <c r="G57" s="108">
        <f t="shared" si="2"/>
        <v>521079.8745375718</v>
      </c>
      <c r="H57" s="105">
        <f t="shared" si="9"/>
        <v>1</v>
      </c>
      <c r="I57" s="109">
        <f t="shared" si="5"/>
        <v>0</v>
      </c>
      <c r="J57" s="109">
        <v>5</v>
      </c>
    </row>
    <row r="58" spans="3:10" ht="15.75" thickBot="1" x14ac:dyDescent="0.25">
      <c r="C58" s="112" t="str">
        <f t="shared" si="6"/>
        <v>Year 6</v>
      </c>
      <c r="D58" s="108">
        <f t="shared" si="7"/>
        <v>0</v>
      </c>
      <c r="E58" s="108">
        <f t="shared" si="8"/>
        <v>0</v>
      </c>
      <c r="F58" s="108">
        <f t="shared" si="4"/>
        <v>2380895.372687859</v>
      </c>
      <c r="G58" s="108">
        <f t="shared" si="2"/>
        <v>0</v>
      </c>
      <c r="H58" s="105">
        <f t="shared" si="9"/>
        <v>0</v>
      </c>
      <c r="I58" s="109">
        <f t="shared" si="5"/>
        <v>0</v>
      </c>
      <c r="J58" s="109">
        <v>6</v>
      </c>
    </row>
    <row r="59" spans="3:10" ht="15.75" thickBot="1" x14ac:dyDescent="0.25">
      <c r="C59" s="112" t="str">
        <f t="shared" si="6"/>
        <v>Year 7</v>
      </c>
      <c r="D59" s="108">
        <f t="shared" si="7"/>
        <v>0</v>
      </c>
      <c r="E59" s="108">
        <f t="shared" si="8"/>
        <v>0</v>
      </c>
      <c r="F59" s="108">
        <f t="shared" si="4"/>
        <v>2380895.372687859</v>
      </c>
      <c r="G59" s="108">
        <f t="shared" si="2"/>
        <v>0</v>
      </c>
      <c r="H59" s="105">
        <f t="shared" si="9"/>
        <v>0</v>
      </c>
      <c r="I59" s="109">
        <f t="shared" si="5"/>
        <v>0</v>
      </c>
      <c r="J59" s="109">
        <v>7</v>
      </c>
    </row>
    <row r="60" spans="3:10" ht="15.75" thickBot="1" x14ac:dyDescent="0.25">
      <c r="C60" s="112" t="str">
        <f t="shared" si="6"/>
        <v>Year 8</v>
      </c>
      <c r="D60" s="108">
        <f t="shared" si="7"/>
        <v>0</v>
      </c>
      <c r="E60" s="108">
        <f t="shared" si="8"/>
        <v>0</v>
      </c>
      <c r="F60" s="108">
        <f t="shared" si="4"/>
        <v>2380895.372687859</v>
      </c>
      <c r="G60" s="108">
        <f t="shared" si="2"/>
        <v>0</v>
      </c>
      <c r="H60" s="105">
        <f t="shared" si="9"/>
        <v>0</v>
      </c>
      <c r="I60" s="109">
        <f t="shared" si="5"/>
        <v>0</v>
      </c>
      <c r="J60" s="109">
        <v>8</v>
      </c>
    </row>
    <row r="61" spans="3:10" ht="15.75" thickBot="1" x14ac:dyDescent="0.25">
      <c r="C61" s="112" t="str">
        <f t="shared" si="6"/>
        <v>Year 9</v>
      </c>
      <c r="D61" s="108">
        <f t="shared" si="7"/>
        <v>0</v>
      </c>
      <c r="E61" s="108">
        <f t="shared" si="8"/>
        <v>0</v>
      </c>
      <c r="F61" s="108">
        <f t="shared" si="4"/>
        <v>2380895.372687859</v>
      </c>
      <c r="G61" s="108">
        <f t="shared" si="2"/>
        <v>0</v>
      </c>
      <c r="H61" s="105">
        <f t="shared" si="9"/>
        <v>0</v>
      </c>
      <c r="I61" s="109">
        <f t="shared" si="5"/>
        <v>0</v>
      </c>
      <c r="J61" s="109">
        <v>9</v>
      </c>
    </row>
    <row r="62" spans="3:10" ht="15.75" thickBot="1" x14ac:dyDescent="0.25">
      <c r="C62" s="112" t="str">
        <f t="shared" si="6"/>
        <v>Year 10</v>
      </c>
      <c r="D62" s="108">
        <f t="shared" si="7"/>
        <v>0</v>
      </c>
      <c r="E62" s="108">
        <f t="shared" si="8"/>
        <v>0</v>
      </c>
      <c r="F62" s="108">
        <f t="shared" si="4"/>
        <v>2380895.372687859</v>
      </c>
      <c r="G62" s="108">
        <f t="shared" si="2"/>
        <v>0</v>
      </c>
      <c r="H62" s="105">
        <f t="shared" si="9"/>
        <v>0</v>
      </c>
      <c r="I62" s="109">
        <f t="shared" si="5"/>
        <v>0</v>
      </c>
      <c r="J62" s="109">
        <v>10</v>
      </c>
    </row>
    <row r="63" spans="3:10" ht="16.5" thickTop="1" thickBot="1" x14ac:dyDescent="0.25">
      <c r="C63" s="8" t="s">
        <v>26</v>
      </c>
      <c r="D63" s="110">
        <f>SUM(D52:D62)</f>
        <v>-546462.80000000005</v>
      </c>
      <c r="E63" s="110">
        <f t="shared" ref="E63:H63" si="10">SUM(E52:E62)</f>
        <v>2927358.1726878593</v>
      </c>
      <c r="F63" s="110">
        <f>F62</f>
        <v>2380895.372687859</v>
      </c>
      <c r="G63" s="110">
        <f t="shared" si="10"/>
        <v>2380895.372687859</v>
      </c>
      <c r="H63" s="8">
        <f t="shared" si="10"/>
        <v>6</v>
      </c>
      <c r="I63" s="111">
        <f>MAX(I52:I62)</f>
        <v>5.1701248342987949</v>
      </c>
      <c r="J63" s="111">
        <f>MAX(J52:J62)</f>
        <v>10</v>
      </c>
    </row>
    <row r="64" spans="3:10" ht="15.75" thickTop="1" x14ac:dyDescent="0.2">
      <c r="C64" s="8" t="s">
        <v>125</v>
      </c>
      <c r="D64" s="110">
        <f>NPV(DiscountRate,D52:D62)</f>
        <v>-445927.43190474366</v>
      </c>
      <c r="E64" s="110">
        <f>NPV(DiscountRate,E52:E62)</f>
        <v>2164461.5478172917</v>
      </c>
      <c r="F64" s="1"/>
      <c r="G64" s="110">
        <f>NPV(DiscountRate,G52:G62)</f>
        <v>1718534.1159125483</v>
      </c>
      <c r="I64" t="s">
        <v>126</v>
      </c>
    </row>
    <row r="65" spans="1:17" ht="15.75" thickBot="1" x14ac:dyDescent="0.25">
      <c r="C65" s="1"/>
      <c r="D65" s="1"/>
      <c r="E65" s="1"/>
      <c r="F65" s="1"/>
      <c r="G65" s="115"/>
    </row>
    <row r="66" spans="1:17" ht="15.75" thickBot="1" x14ac:dyDescent="0.25">
      <c r="C66" s="91" t="s">
        <v>101</v>
      </c>
      <c r="D66" s="11">
        <f>IF(OR(D63&gt;=0,F63&lt;=0),"NA",I63)</f>
        <v>5.1701248342987949</v>
      </c>
      <c r="E66" s="1"/>
      <c r="F66" s="1"/>
    </row>
    <row r="67" spans="1:17" x14ac:dyDescent="0.2">
      <c r="C67" s="1"/>
      <c r="D67" s="1"/>
      <c r="E67" s="1"/>
      <c r="F67" s="1"/>
    </row>
    <row r="68" spans="1:17" x14ac:dyDescent="0.2">
      <c r="C68" s="1"/>
      <c r="D68" s="1"/>
      <c r="E68" s="1"/>
      <c r="F68" s="1"/>
    </row>
    <row r="69" spans="1:17" ht="20.25" thickBot="1" x14ac:dyDescent="0.35">
      <c r="A69" s="3" t="s">
        <v>127</v>
      </c>
      <c r="C69" s="120"/>
      <c r="D69" s="120"/>
      <c r="E69" s="120"/>
      <c r="F69" s="120"/>
    </row>
    <row r="70" spans="1:17" ht="16.5" thickTop="1" thickBot="1" x14ac:dyDescent="0.25">
      <c r="C70" s="120"/>
      <c r="D70" s="120"/>
      <c r="E70" s="120"/>
      <c r="F70" s="120"/>
    </row>
    <row r="71" spans="1:17" ht="15.75" thickBot="1" x14ac:dyDescent="0.25">
      <c r="A71" s="123"/>
      <c r="B71" s="123"/>
      <c r="C71" s="51" t="s">
        <v>128</v>
      </c>
      <c r="D71" s="96">
        <f>0</f>
        <v>0</v>
      </c>
      <c r="E71" s="123"/>
      <c r="F71" s="123"/>
      <c r="G71" s="123"/>
      <c r="H71" s="123"/>
      <c r="I71" s="123"/>
      <c r="J71" s="123"/>
      <c r="K71" s="123"/>
      <c r="L71" s="123"/>
      <c r="M71" s="123"/>
      <c r="O71" s="123"/>
      <c r="P71" s="123"/>
      <c r="Q71" s="123"/>
    </row>
    <row r="72" spans="1:17" ht="15.75" thickBot="1" x14ac:dyDescent="0.25">
      <c r="A72" s="123"/>
      <c r="B72" s="123"/>
      <c r="C72" s="51" t="s">
        <v>129</v>
      </c>
      <c r="D72" s="10">
        <f>0</f>
        <v>0</v>
      </c>
      <c r="E72" s="123"/>
      <c r="F72" s="123"/>
      <c r="G72" s="123"/>
      <c r="H72" s="123"/>
      <c r="I72" s="123"/>
      <c r="J72" s="123"/>
      <c r="K72" s="123"/>
      <c r="L72" s="123"/>
      <c r="M72" s="123"/>
      <c r="O72" s="123"/>
      <c r="P72" s="123"/>
      <c r="Q72" s="123"/>
    </row>
    <row r="73" spans="1:17" x14ac:dyDescent="0.2">
      <c r="A73" s="123"/>
      <c r="B73" s="123"/>
      <c r="C73" s="123"/>
      <c r="D73" s="123"/>
      <c r="E73" s="123"/>
      <c r="F73" s="123"/>
      <c r="G73" s="123"/>
      <c r="H73" s="123"/>
      <c r="I73" s="123"/>
      <c r="J73" s="123"/>
      <c r="K73" s="123"/>
      <c r="L73" s="123"/>
      <c r="M73" s="123"/>
      <c r="O73" s="123"/>
      <c r="P73" s="123"/>
      <c r="Q73" s="123"/>
    </row>
  </sheetData>
  <mergeCells count="3">
    <mergeCell ref="C3:L3"/>
    <mergeCell ref="C34:H34"/>
    <mergeCell ref="C5:K5"/>
  </mergeCells>
  <conditionalFormatting sqref="D38">
    <cfRule type="expression" dxfId="9" priority="3">
      <formula>_xlfn.ISFORMULA($D$38)</formula>
    </cfRule>
  </conditionalFormatting>
  <conditionalFormatting sqref="D71">
    <cfRule type="expression" dxfId="8" priority="2">
      <formula>_xlfn.ISFORMULA($D$71)</formula>
    </cfRule>
  </conditionalFormatting>
  <conditionalFormatting sqref="D72">
    <cfRule type="expression" dxfId="7" priority="1">
      <formula>_xlfn.ISFORMULA($D$72)</formula>
    </cfRule>
  </conditionalFormatting>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E22"/>
  <sheetViews>
    <sheetView showGridLines="0" workbookViewId="0"/>
  </sheetViews>
  <sheetFormatPr defaultColWidth="0" defaultRowHeight="15" zeroHeight="1" x14ac:dyDescent="0.2"/>
  <cols>
    <col min="1" max="1" width="2.44140625" customWidth="1"/>
    <col min="2" max="2" width="119.109375" customWidth="1"/>
    <col min="3" max="3" width="8.88671875" customWidth="1"/>
    <col min="4" max="4" width="0.44140625" customWidth="1"/>
    <col min="5" max="5" width="2.88671875" hidden="1" customWidth="1"/>
    <col min="6" max="16384" width="8.88671875" hidden="1"/>
  </cols>
  <sheetData>
    <row r="1" spans="1:5" ht="27.75" x14ac:dyDescent="0.4">
      <c r="A1" s="2" t="s">
        <v>130</v>
      </c>
      <c r="E1" s="4" t="s">
        <v>0</v>
      </c>
    </row>
    <row r="2" spans="1:5" x14ac:dyDescent="0.2">
      <c r="E2" s="4"/>
    </row>
    <row r="3" spans="1:5" ht="20.25" thickBot="1" x14ac:dyDescent="0.35">
      <c r="A3" s="3" t="s">
        <v>131</v>
      </c>
      <c r="B3" s="15"/>
      <c r="E3" s="4"/>
    </row>
    <row r="4" spans="1:5" ht="23.25" customHeight="1" thickTop="1" x14ac:dyDescent="0.2">
      <c r="B4" s="23" t="s">
        <v>132</v>
      </c>
      <c r="E4" s="4"/>
    </row>
    <row r="5" spans="1:5" x14ac:dyDescent="0.2">
      <c r="B5" s="23"/>
      <c r="E5" s="4"/>
    </row>
    <row r="6" spans="1:5" x14ac:dyDescent="0.2">
      <c r="B6" s="118" t="s">
        <v>5</v>
      </c>
      <c r="E6" s="4"/>
    </row>
    <row r="7" spans="1:5" x14ac:dyDescent="0.2">
      <c r="B7" s="13"/>
      <c r="E7" s="4"/>
    </row>
    <row r="8" spans="1:5" ht="37.5" customHeight="1" thickBot="1" x14ac:dyDescent="0.35">
      <c r="A8" s="3" t="s">
        <v>133</v>
      </c>
      <c r="B8" s="15"/>
      <c r="E8" s="4"/>
    </row>
    <row r="9" spans="1:5" ht="88.5" customHeight="1" thickTop="1" x14ac:dyDescent="0.2">
      <c r="B9" s="23" t="s">
        <v>134</v>
      </c>
      <c r="E9" s="4"/>
    </row>
    <row r="10" spans="1:5" ht="37.5" customHeight="1" thickBot="1" x14ac:dyDescent="0.35">
      <c r="A10" s="3" t="s">
        <v>135</v>
      </c>
      <c r="B10" s="15"/>
      <c r="E10" s="4"/>
    </row>
    <row r="11" spans="1:5" ht="130.5" customHeight="1" thickTop="1" x14ac:dyDescent="0.2">
      <c r="B11" s="24" t="s">
        <v>136</v>
      </c>
      <c r="E11" s="4"/>
    </row>
    <row r="12" spans="1:5" x14ac:dyDescent="0.2">
      <c r="E12" s="4"/>
    </row>
    <row r="13" spans="1:5" x14ac:dyDescent="0.2">
      <c r="B13" s="23" t="s">
        <v>137</v>
      </c>
      <c r="E13" s="4"/>
    </row>
    <row r="14" spans="1:5" x14ac:dyDescent="0.2">
      <c r="B14" s="14" t="s">
        <v>138</v>
      </c>
      <c r="E14" s="4"/>
    </row>
    <row r="15" spans="1:5" x14ac:dyDescent="0.2">
      <c r="B15" s="14" t="s">
        <v>139</v>
      </c>
      <c r="E15" s="4"/>
    </row>
    <row r="16" spans="1:5" ht="50.25" customHeight="1" x14ac:dyDescent="0.2">
      <c r="B16" s="12"/>
      <c r="E16" s="4"/>
    </row>
    <row r="17" spans="1:5" x14ac:dyDescent="0.2">
      <c r="B17" s="22" t="str">
        <f>Start!$B$27</f>
        <v>© AnalysisPlace</v>
      </c>
      <c r="E17" s="4"/>
    </row>
    <row r="18" spans="1:5" hidden="1" x14ac:dyDescent="0.2">
      <c r="A18" s="4" t="s">
        <v>0</v>
      </c>
      <c r="B18" s="4"/>
      <c r="C18" s="4"/>
      <c r="D18" s="4"/>
      <c r="E18" s="4"/>
    </row>
    <row r="19" spans="1:5" hidden="1" x14ac:dyDescent="0.2">
      <c r="B19" s="12"/>
    </row>
    <row r="20" spans="1:5" hidden="1" x14ac:dyDescent="0.2">
      <c r="B20" s="12"/>
    </row>
    <row r="21" spans="1:5" hidden="1" x14ac:dyDescent="0.2">
      <c r="B21" s="12"/>
    </row>
    <row r="22" spans="1:5" hidden="1" x14ac:dyDescent="0.2">
      <c r="B22" s="12"/>
    </row>
  </sheetData>
  <hyperlinks>
    <hyperlink ref="B14" r:id="rId1" xr:uid="{00000000-0004-0000-0400-000000000000}"/>
    <hyperlink ref="B15" r:id="rId2" xr:uid="{00000000-0004-0000-0400-000001000000}"/>
    <hyperlink ref="B6" r:id="rId3" xr:uid="{A6362CBE-734E-451F-ABF5-9BF96817FED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1"/>
    <outlinePr summaryBelow="0" summaryRight="0"/>
  </sheetPr>
  <dimension ref="A1:G37"/>
  <sheetViews>
    <sheetView workbookViewId="0"/>
  </sheetViews>
  <sheetFormatPr defaultColWidth="8.109375" defaultRowHeight="15" x14ac:dyDescent="0.2"/>
  <cols>
    <col min="1" max="1" width="3.33203125" customWidth="1"/>
    <col min="2" max="2" width="17.109375" customWidth="1"/>
    <col min="3" max="3" width="14.6640625" customWidth="1"/>
    <col min="4" max="4" width="8.77734375" customWidth="1"/>
    <col min="5" max="5" width="4.77734375" customWidth="1"/>
    <col min="6" max="6" width="20.77734375" customWidth="1"/>
    <col min="7" max="7" width="18.44140625" customWidth="1"/>
    <col min="8" max="9" width="6.6640625" customWidth="1"/>
  </cols>
  <sheetData>
    <row r="1" spans="1:7" ht="27.75" x14ac:dyDescent="0.4">
      <c r="A1" s="2" t="s">
        <v>140</v>
      </c>
    </row>
    <row r="2" spans="1:7" x14ac:dyDescent="0.2">
      <c r="B2" t="s">
        <v>141</v>
      </c>
      <c r="C2" s="152">
        <f ca="1">NOW()</f>
        <v>45168.681687847224</v>
      </c>
      <c r="D2" s="152"/>
      <c r="E2" s="152"/>
      <c r="F2" s="152"/>
    </row>
    <row r="4" spans="1:7" x14ac:dyDescent="0.2">
      <c r="C4" t="s">
        <v>142</v>
      </c>
    </row>
    <row r="5" spans="1:7" ht="15.75" thickBot="1" x14ac:dyDescent="0.25"/>
    <row r="6" spans="1:7" ht="16.5" thickBot="1" x14ac:dyDescent="0.3">
      <c r="F6" s="123"/>
      <c r="G6" s="5" t="str">
        <f>"Total (" &amp; DurationYrs &amp;"-Year)"</f>
        <v>Total (5-Year)</v>
      </c>
    </row>
    <row r="7" spans="1:7" ht="15.75" thickBot="1" x14ac:dyDescent="0.25">
      <c r="F7" s="91" t="s">
        <v>96</v>
      </c>
      <c r="G7" s="92">
        <f>rpt_Investment/1000</f>
        <v>546.46280000000002</v>
      </c>
    </row>
    <row r="8" spans="1:7" ht="15.75" thickBot="1" x14ac:dyDescent="0.25">
      <c r="F8" s="91" t="s">
        <v>97</v>
      </c>
      <c r="G8" s="92">
        <f>ROI!F9/1000</f>
        <v>2927.3581726878592</v>
      </c>
    </row>
    <row r="9" spans="1:7" ht="15.75" thickTop="1" x14ac:dyDescent="0.2">
      <c r="F9" s="91" t="s">
        <v>98</v>
      </c>
      <c r="G9" s="93">
        <f>G8-G7</f>
        <v>2380.895372687859</v>
      </c>
    </row>
    <row r="16" spans="1:7" ht="15.75" thickBot="1" x14ac:dyDescent="0.25">
      <c r="C16" t="s">
        <v>143</v>
      </c>
    </row>
    <row r="17" spans="3:7" ht="16.5" thickBot="1" x14ac:dyDescent="0.3">
      <c r="F17" s="123"/>
      <c r="G17" s="5" t="s">
        <v>26</v>
      </c>
    </row>
    <row r="18" spans="3:7" ht="15.75" thickBot="1" x14ac:dyDescent="0.25">
      <c r="F18" s="124" t="str">
        <f>VendorName&amp;" Costs"</f>
        <v>Vendor Costs</v>
      </c>
      <c r="G18" s="32">
        <f>Costs!F7/1000</f>
        <v>275.88</v>
      </c>
    </row>
    <row r="19" spans="3:7" ht="15.75" thickBot="1" x14ac:dyDescent="0.25">
      <c r="F19" s="124" t="str">
        <f>"Internal Costs"</f>
        <v>Internal Costs</v>
      </c>
      <c r="G19" s="32">
        <f>Costs!F8/1000</f>
        <v>45.964800000000004</v>
      </c>
    </row>
    <row r="20" spans="3:7" ht="15.75" thickBot="1" x14ac:dyDescent="0.25">
      <c r="F20" s="124" t="str">
        <f>"Internal Labor"</f>
        <v>Internal Labor</v>
      </c>
      <c r="G20" s="32">
        <f>Costs!F9/1000</f>
        <v>178.10599999999999</v>
      </c>
    </row>
    <row r="21" spans="3:7" ht="15.75" thickBot="1" x14ac:dyDescent="0.25">
      <c r="F21" s="125" t="str">
        <f>"3rd Party Services"</f>
        <v>3rd Party Services</v>
      </c>
      <c r="G21" s="32">
        <f>Costs!F10/1000</f>
        <v>46.512</v>
      </c>
    </row>
    <row r="22" spans="3:7" ht="15.75" thickTop="1" x14ac:dyDescent="0.2">
      <c r="F22" s="33" t="s">
        <v>96</v>
      </c>
      <c r="G22" s="38">
        <f>SUM(G18:G21)</f>
        <v>546.46280000000002</v>
      </c>
    </row>
    <row r="30" spans="3:7" x14ac:dyDescent="0.2">
      <c r="C30" t="s">
        <v>144</v>
      </c>
    </row>
    <row r="32" spans="3:7" ht="15.75" thickBot="1" x14ac:dyDescent="0.25"/>
    <row r="33" spans="6:7" ht="16.5" thickBot="1" x14ac:dyDescent="0.3">
      <c r="F33" s="122" t="s">
        <v>41</v>
      </c>
      <c r="G33" s="122" t="s">
        <v>26</v>
      </c>
    </row>
    <row r="34" spans="6:7" ht="15.75" thickBot="1" x14ac:dyDescent="0.25">
      <c r="F34" s="55" t="str">
        <f>"Revenue Gains (Margin)"</f>
        <v>Revenue Gains (Margin)</v>
      </c>
      <c r="G34" s="49">
        <f>Benefits!F7/1000</f>
        <v>1080.558172687859</v>
      </c>
    </row>
    <row r="35" spans="6:7" ht="15.75" thickBot="1" x14ac:dyDescent="0.25">
      <c r="F35" s="55" t="str">
        <f>"Cost/TCO Savings"</f>
        <v>Cost/TCO Savings</v>
      </c>
      <c r="G35" s="49">
        <f>Benefits!F8/1000</f>
        <v>820.8</v>
      </c>
    </row>
    <row r="36" spans="6:7" ht="15.75" thickBot="1" x14ac:dyDescent="0.25">
      <c r="F36" s="56" t="str">
        <f>"Productivity Savings"</f>
        <v>Productivity Savings</v>
      </c>
      <c r="G36" s="49">
        <f>Benefits!F9/1000</f>
        <v>1026</v>
      </c>
    </row>
    <row r="37" spans="6:7" ht="15.75" thickTop="1" x14ac:dyDescent="0.2">
      <c r="F37" s="33" t="s">
        <v>27</v>
      </c>
      <c r="G37" s="38">
        <f>SUM(G34:G36)</f>
        <v>2927.3581726878592</v>
      </c>
    </row>
  </sheetData>
  <mergeCells count="1">
    <mergeCell ref="C2:F2"/>
  </mergeCells>
  <conditionalFormatting sqref="F18">
    <cfRule type="expression" dxfId="6" priority="7">
      <formula>_xlfn.ISFORMULA($C$8)</formula>
    </cfRule>
  </conditionalFormatting>
  <conditionalFormatting sqref="F19">
    <cfRule type="expression" dxfId="5" priority="6">
      <formula>_xlfn.ISFORMULA($C$9)</formula>
    </cfRule>
  </conditionalFormatting>
  <conditionalFormatting sqref="F20">
    <cfRule type="expression" dxfId="4" priority="5">
      <formula>_xlfn.ISFORMULA($C$10)</formula>
    </cfRule>
  </conditionalFormatting>
  <conditionalFormatting sqref="F21">
    <cfRule type="expression" dxfId="3" priority="4">
      <formula>_xlfn.ISFORMULA($C$11)</formula>
    </cfRule>
  </conditionalFormatting>
  <conditionalFormatting sqref="F34">
    <cfRule type="expression" dxfId="2" priority="3">
      <formula>_xlfn.ISFORMULA($C$8)</formula>
    </cfRule>
  </conditionalFormatting>
  <conditionalFormatting sqref="F35">
    <cfRule type="expression" dxfId="1" priority="2">
      <formula>_xlfn.ISFORMULA($C$9)</formula>
    </cfRule>
  </conditionalFormatting>
  <conditionalFormatting sqref="F36">
    <cfRule type="expression" dxfId="0" priority="1">
      <formula>_xlfn.ISFORMULA($C$10)</formula>
    </cfRule>
  </conditionalFormatting>
  <pageMargins left="0.7" right="0.7"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54CFB8EE2730499D5FB67EC9F8C370" ma:contentTypeVersion="0" ma:contentTypeDescription="Create a new document." ma:contentTypeScope="" ma:versionID="9fecfd48937b3e54ed09da52f020101c">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455B31-FA76-4029-A4D9-F3D5A747322A}"/>
</file>

<file path=customXml/itemProps2.xml><?xml version="1.0" encoding="utf-8"?>
<ds:datastoreItem xmlns:ds="http://schemas.openxmlformats.org/officeDocument/2006/customXml" ds:itemID="{26A664F8-2867-427C-AD22-05FE526354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20</vt:i4>
      </vt:variant>
    </vt:vector>
  </HeadingPairs>
  <TitlesOfParts>
    <vt:vector size="26" baseType="lpstr">
      <vt:lpstr>Start</vt:lpstr>
      <vt:lpstr>Costs</vt:lpstr>
      <vt:lpstr>Benefits</vt:lpstr>
      <vt:lpstr>ROI</vt:lpstr>
      <vt:lpstr>About</vt:lpstr>
      <vt:lpstr>Rpt Cntnt</vt:lpstr>
      <vt:lpstr>DiscountRate</vt:lpstr>
      <vt:lpstr>DurationYrs</vt:lpstr>
      <vt:lpstr>GrowthBenefits</vt:lpstr>
      <vt:lpstr>GrowthCosts</vt:lpstr>
      <vt:lpstr>rpt_DatePrepared</vt:lpstr>
      <vt:lpstr>rpt_Investment</vt:lpstr>
      <vt:lpstr>rpt_NetBenefits</vt:lpstr>
      <vt:lpstr>rpt_ROI</vt:lpstr>
      <vt:lpstr>rpt_ROISumTable</vt:lpstr>
      <vt:lpstr>rpt_tBenSum</vt:lpstr>
      <vt:lpstr>rpt_tCostSum</vt:lpstr>
      <vt:lpstr>rpt_VendorName</vt:lpstr>
      <vt:lpstr>shBenefits</vt:lpstr>
      <vt:lpstr>shCosts</vt:lpstr>
      <vt:lpstr>shROI</vt:lpstr>
      <vt:lpstr>shStart</vt:lpstr>
      <vt:lpstr>tDur</vt:lpstr>
      <vt:lpstr>Users</vt:lpstr>
      <vt:lpstr>VendorName</vt:lpstr>
      <vt:lpstr>WACC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Brooks</dc:creator>
  <cp:keywords/>
  <dc:description/>
  <cp:lastModifiedBy>Julie Hall</cp:lastModifiedBy>
  <cp:revision/>
  <dcterms:created xsi:type="dcterms:W3CDTF">2016-02-28T22:28:46Z</dcterms:created>
  <dcterms:modified xsi:type="dcterms:W3CDTF">2023-08-30T20:21:37Z</dcterms:modified>
  <cp:category/>
  <cp:contentStatus/>
</cp:coreProperties>
</file>